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20" windowHeight="852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253" i="1" l="1"/>
  <c r="B253" i="1"/>
  <c r="A253" i="1"/>
  <c r="D252" i="1"/>
  <c r="B252" i="1"/>
  <c r="A252" i="1"/>
  <c r="D251" i="1"/>
  <c r="B251" i="1"/>
  <c r="A251" i="1"/>
  <c r="D250" i="1"/>
  <c r="B250" i="1"/>
  <c r="A250" i="1"/>
  <c r="D249" i="1"/>
  <c r="B249" i="1"/>
  <c r="A249" i="1"/>
  <c r="D248" i="1"/>
  <c r="B248" i="1"/>
  <c r="A248" i="1"/>
  <c r="D247" i="1"/>
  <c r="B247" i="1"/>
  <c r="A247" i="1"/>
  <c r="D246" i="1"/>
  <c r="B246" i="1"/>
  <c r="A246" i="1"/>
  <c r="D245" i="1"/>
  <c r="B245" i="1"/>
  <c r="A245" i="1"/>
  <c r="D244" i="1"/>
  <c r="B244" i="1"/>
  <c r="A244" i="1"/>
  <c r="D243" i="1"/>
  <c r="B243" i="1"/>
  <c r="A243" i="1"/>
  <c r="D242" i="1"/>
  <c r="B242" i="1"/>
  <c r="A242" i="1"/>
  <c r="D241" i="1"/>
  <c r="B241" i="1"/>
  <c r="A241" i="1"/>
  <c r="D240" i="1"/>
  <c r="B240" i="1"/>
  <c r="A240" i="1"/>
  <c r="D239" i="1"/>
  <c r="B239" i="1"/>
  <c r="A239" i="1"/>
  <c r="D238" i="1"/>
  <c r="B238" i="1"/>
  <c r="A238" i="1"/>
  <c r="D237" i="1"/>
  <c r="B237" i="1"/>
  <c r="A237" i="1"/>
  <c r="D236" i="1"/>
  <c r="B236" i="1"/>
  <c r="A236" i="1"/>
  <c r="D235" i="1"/>
  <c r="B235" i="1"/>
  <c r="A235" i="1"/>
  <c r="D234" i="1"/>
  <c r="B234" i="1"/>
  <c r="A234" i="1"/>
  <c r="D233" i="1"/>
  <c r="B233" i="1"/>
  <c r="A233" i="1"/>
  <c r="D232" i="1"/>
  <c r="B232" i="1"/>
  <c r="A232" i="1"/>
  <c r="D231" i="1"/>
  <c r="B231" i="1"/>
  <c r="A231" i="1"/>
  <c r="D230" i="1"/>
  <c r="B230" i="1"/>
  <c r="A230" i="1"/>
  <c r="D229" i="1"/>
  <c r="B229" i="1"/>
  <c r="A229" i="1"/>
  <c r="D228" i="1"/>
  <c r="B228" i="1"/>
  <c r="A228" i="1"/>
  <c r="D227" i="1"/>
  <c r="B227" i="1"/>
  <c r="A227" i="1"/>
  <c r="D226" i="1"/>
  <c r="B226" i="1"/>
  <c r="A226" i="1"/>
  <c r="D225" i="1"/>
  <c r="B225" i="1"/>
  <c r="A225" i="1"/>
  <c r="D224" i="1"/>
  <c r="B224" i="1"/>
  <c r="A224" i="1"/>
  <c r="D223" i="1"/>
  <c r="B223" i="1"/>
  <c r="A223" i="1"/>
  <c r="D222" i="1"/>
  <c r="B222" i="1"/>
  <c r="A222" i="1"/>
  <c r="D221" i="1"/>
  <c r="B221" i="1"/>
  <c r="A221" i="1"/>
  <c r="D220" i="1"/>
  <c r="B220" i="1"/>
  <c r="A220" i="1"/>
  <c r="D219" i="1"/>
  <c r="B219" i="1"/>
  <c r="A219" i="1"/>
  <c r="D218" i="1"/>
  <c r="B218" i="1"/>
  <c r="A218" i="1"/>
  <c r="D217" i="1"/>
  <c r="B217" i="1"/>
  <c r="A217" i="1"/>
  <c r="D216" i="1"/>
  <c r="B216" i="1"/>
  <c r="A216" i="1"/>
  <c r="D215" i="1"/>
  <c r="B215" i="1"/>
  <c r="A215" i="1"/>
  <c r="D214" i="1"/>
  <c r="B214" i="1"/>
  <c r="A214" i="1"/>
  <c r="D213" i="1"/>
  <c r="B213" i="1"/>
  <c r="A213" i="1"/>
  <c r="D212" i="1"/>
  <c r="B212" i="1"/>
  <c r="A212" i="1"/>
  <c r="D211" i="1"/>
  <c r="B211" i="1"/>
  <c r="A211" i="1"/>
  <c r="D210" i="1"/>
  <c r="B210" i="1"/>
  <c r="A210" i="1"/>
  <c r="D209" i="1"/>
  <c r="B209" i="1"/>
  <c r="A209" i="1"/>
  <c r="D208" i="1"/>
  <c r="B208" i="1"/>
  <c r="A208" i="1"/>
  <c r="D207" i="1"/>
  <c r="B207" i="1"/>
  <c r="A207" i="1"/>
  <c r="D206" i="1"/>
  <c r="B206" i="1"/>
  <c r="A206" i="1"/>
  <c r="D205" i="1"/>
  <c r="B205" i="1"/>
  <c r="A205" i="1"/>
  <c r="D204" i="1"/>
  <c r="B204" i="1"/>
  <c r="A204" i="1"/>
  <c r="D203" i="1"/>
  <c r="B203" i="1"/>
  <c r="A203" i="1"/>
  <c r="D202" i="1"/>
  <c r="B202" i="1"/>
  <c r="A202" i="1"/>
  <c r="D201" i="1"/>
  <c r="B201" i="1"/>
  <c r="A201" i="1"/>
  <c r="D200" i="1"/>
  <c r="B200" i="1"/>
  <c r="A200" i="1"/>
  <c r="D199" i="1"/>
  <c r="B199" i="1"/>
  <c r="A199" i="1"/>
  <c r="D198" i="1"/>
  <c r="B198" i="1"/>
  <c r="A198" i="1"/>
  <c r="D197" i="1"/>
  <c r="B197" i="1"/>
  <c r="A197" i="1"/>
  <c r="D196" i="1"/>
  <c r="B196" i="1"/>
  <c r="A196" i="1"/>
  <c r="D195" i="1"/>
  <c r="B195" i="1"/>
  <c r="A195" i="1"/>
  <c r="D194" i="1"/>
  <c r="B194" i="1"/>
  <c r="A194" i="1"/>
  <c r="D193" i="1"/>
  <c r="B193" i="1"/>
  <c r="A193" i="1"/>
  <c r="D192" i="1"/>
  <c r="B192" i="1"/>
  <c r="A192" i="1"/>
  <c r="D191" i="1"/>
  <c r="B191" i="1"/>
  <c r="A191" i="1"/>
  <c r="D190" i="1"/>
  <c r="B190" i="1"/>
  <c r="A190" i="1"/>
  <c r="D189" i="1"/>
  <c r="B189" i="1"/>
  <c r="A189" i="1"/>
  <c r="D188" i="1"/>
  <c r="B188" i="1"/>
  <c r="A188" i="1"/>
  <c r="D187" i="1"/>
  <c r="B187" i="1"/>
  <c r="A187" i="1"/>
  <c r="D186" i="1"/>
  <c r="B186" i="1"/>
  <c r="A186" i="1"/>
  <c r="D185" i="1"/>
  <c r="B185" i="1"/>
  <c r="A185" i="1"/>
  <c r="D184" i="1"/>
  <c r="B184" i="1"/>
  <c r="A184" i="1"/>
  <c r="D183" i="1"/>
  <c r="B183" i="1"/>
  <c r="A183" i="1"/>
  <c r="D182" i="1"/>
  <c r="B182" i="1"/>
  <c r="A182" i="1"/>
  <c r="D181" i="1"/>
  <c r="B181" i="1"/>
  <c r="A181" i="1"/>
  <c r="D180" i="1"/>
  <c r="B180" i="1"/>
  <c r="A180" i="1"/>
  <c r="D179" i="1"/>
  <c r="B179" i="1"/>
  <c r="A179" i="1"/>
  <c r="D178" i="1"/>
  <c r="B178" i="1"/>
  <c r="A178" i="1"/>
  <c r="D177" i="1"/>
  <c r="B177" i="1"/>
  <c r="A177" i="1"/>
  <c r="D176" i="1"/>
  <c r="B176" i="1"/>
  <c r="A176" i="1"/>
  <c r="D175" i="1"/>
  <c r="B175" i="1"/>
  <c r="A175" i="1"/>
  <c r="D174" i="1"/>
  <c r="B174" i="1"/>
  <c r="A174" i="1"/>
  <c r="D173" i="1"/>
  <c r="B173" i="1"/>
  <c r="A173" i="1"/>
  <c r="D172" i="1"/>
  <c r="B172" i="1"/>
  <c r="A172" i="1"/>
  <c r="D171" i="1"/>
  <c r="B171" i="1"/>
  <c r="A171" i="1"/>
  <c r="D170" i="1"/>
  <c r="B170" i="1"/>
  <c r="A170" i="1"/>
  <c r="D169" i="1"/>
  <c r="B169" i="1"/>
  <c r="A169" i="1"/>
  <c r="D168" i="1"/>
  <c r="B168" i="1"/>
  <c r="A168" i="1"/>
  <c r="D167" i="1"/>
  <c r="B167" i="1"/>
  <c r="A167" i="1"/>
  <c r="D166" i="1"/>
  <c r="B166" i="1"/>
  <c r="A166" i="1"/>
  <c r="D165" i="1"/>
  <c r="B165" i="1"/>
  <c r="A165" i="1"/>
  <c r="D164" i="1"/>
  <c r="B164" i="1"/>
  <c r="A164" i="1"/>
  <c r="D163" i="1"/>
  <c r="B163" i="1"/>
  <c r="A163" i="1"/>
  <c r="D162" i="1"/>
  <c r="B162" i="1"/>
  <c r="A162" i="1"/>
  <c r="D161" i="1"/>
  <c r="B161" i="1"/>
  <c r="A161" i="1"/>
  <c r="D160" i="1"/>
  <c r="B160" i="1"/>
  <c r="A160" i="1"/>
  <c r="D159" i="1"/>
  <c r="B159" i="1"/>
  <c r="A159" i="1"/>
  <c r="D158" i="1"/>
  <c r="B158" i="1"/>
  <c r="A158" i="1"/>
  <c r="D157" i="1"/>
  <c r="B157" i="1"/>
  <c r="A157" i="1"/>
  <c r="D156" i="1"/>
  <c r="B156" i="1"/>
  <c r="A156" i="1"/>
  <c r="D155" i="1"/>
  <c r="B155" i="1"/>
  <c r="A155" i="1"/>
  <c r="D154" i="1"/>
  <c r="B154" i="1"/>
  <c r="A154" i="1"/>
  <c r="D153" i="1"/>
  <c r="B153" i="1"/>
  <c r="A153" i="1"/>
  <c r="D152" i="1"/>
  <c r="B152" i="1"/>
  <c r="A152" i="1"/>
  <c r="D151" i="1"/>
  <c r="B151" i="1"/>
  <c r="A151" i="1"/>
  <c r="D150" i="1"/>
  <c r="B150" i="1"/>
  <c r="A150" i="1"/>
  <c r="D149" i="1"/>
  <c r="B149" i="1"/>
  <c r="A149" i="1"/>
  <c r="D148" i="1"/>
  <c r="B148" i="1"/>
  <c r="A148" i="1"/>
  <c r="D147" i="1"/>
  <c r="B147" i="1"/>
  <c r="A147" i="1"/>
  <c r="D146" i="1"/>
  <c r="B146" i="1"/>
  <c r="A146" i="1"/>
  <c r="D145" i="1"/>
  <c r="B145" i="1"/>
  <c r="A145" i="1"/>
  <c r="D144" i="1"/>
  <c r="B144" i="1"/>
  <c r="A144" i="1"/>
  <c r="D143" i="1"/>
  <c r="B143" i="1"/>
  <c r="A143" i="1"/>
  <c r="D142" i="1"/>
  <c r="B142" i="1"/>
  <c r="A142" i="1"/>
  <c r="D141" i="1"/>
  <c r="B141" i="1"/>
  <c r="A141" i="1"/>
  <c r="D140" i="1"/>
  <c r="B140" i="1"/>
  <c r="A140" i="1"/>
  <c r="D139" i="1"/>
  <c r="B139" i="1"/>
  <c r="A139" i="1"/>
  <c r="D138" i="1"/>
  <c r="B138" i="1"/>
  <c r="A138" i="1"/>
  <c r="D137" i="1"/>
  <c r="B137" i="1"/>
  <c r="A137" i="1"/>
  <c r="D136" i="1"/>
  <c r="B136" i="1"/>
  <c r="A136" i="1"/>
  <c r="D135" i="1"/>
  <c r="B135" i="1"/>
  <c r="A135" i="1"/>
  <c r="D134" i="1"/>
  <c r="B134" i="1"/>
  <c r="A134" i="1"/>
  <c r="D133" i="1"/>
  <c r="B133" i="1"/>
  <c r="A133" i="1"/>
  <c r="D132" i="1"/>
  <c r="B132" i="1"/>
  <c r="A132" i="1"/>
  <c r="D131" i="1"/>
  <c r="B131" i="1"/>
  <c r="A131" i="1"/>
  <c r="D130" i="1"/>
  <c r="B130" i="1"/>
  <c r="A130" i="1"/>
  <c r="D129" i="1"/>
  <c r="B129" i="1"/>
  <c r="A129" i="1"/>
  <c r="D128" i="1"/>
  <c r="B128" i="1"/>
  <c r="A128" i="1"/>
  <c r="D127" i="1"/>
  <c r="B127" i="1"/>
  <c r="A127" i="1"/>
  <c r="D126" i="1"/>
  <c r="B126" i="1"/>
  <c r="A126" i="1"/>
  <c r="D125" i="1"/>
  <c r="B125" i="1"/>
  <c r="A125" i="1"/>
  <c r="D124" i="1"/>
  <c r="B124" i="1"/>
  <c r="A124" i="1"/>
  <c r="D123" i="1"/>
  <c r="B123" i="1"/>
  <c r="A123" i="1"/>
  <c r="D122" i="1"/>
  <c r="B122" i="1"/>
  <c r="A122" i="1"/>
  <c r="D121" i="1"/>
  <c r="B121" i="1"/>
  <c r="A121" i="1"/>
  <c r="D120" i="1"/>
  <c r="B120" i="1"/>
  <c r="A120" i="1"/>
  <c r="D119" i="1"/>
  <c r="B119" i="1"/>
  <c r="A119" i="1"/>
  <c r="D118" i="1"/>
  <c r="B118" i="1"/>
  <c r="A118" i="1"/>
  <c r="D117" i="1"/>
  <c r="B117" i="1"/>
  <c r="A117" i="1"/>
  <c r="D116" i="1"/>
  <c r="B116" i="1"/>
  <c r="A116" i="1"/>
  <c r="D115" i="1"/>
  <c r="B115" i="1"/>
  <c r="A115" i="1"/>
  <c r="D114" i="1"/>
  <c r="B114" i="1"/>
  <c r="A114" i="1"/>
  <c r="D113" i="1"/>
  <c r="B113" i="1"/>
  <c r="A113" i="1"/>
  <c r="D112" i="1"/>
  <c r="B112" i="1"/>
  <c r="A112" i="1"/>
  <c r="D111" i="1"/>
  <c r="B111" i="1"/>
  <c r="A111" i="1"/>
  <c r="D110" i="1"/>
  <c r="B110" i="1"/>
  <c r="A110" i="1"/>
  <c r="D109" i="1"/>
  <c r="B109" i="1"/>
  <c r="A109" i="1"/>
  <c r="D108" i="1"/>
  <c r="B108" i="1"/>
  <c r="A108" i="1"/>
  <c r="D107" i="1"/>
  <c r="B107" i="1"/>
  <c r="A107" i="1"/>
  <c r="D106" i="1"/>
  <c r="B106" i="1"/>
  <c r="A106" i="1"/>
  <c r="D105" i="1"/>
  <c r="B105" i="1"/>
  <c r="A105" i="1"/>
  <c r="D104" i="1"/>
  <c r="B104" i="1"/>
  <c r="A104" i="1"/>
  <c r="D103" i="1"/>
  <c r="B103" i="1"/>
  <c r="A103" i="1"/>
  <c r="D102" i="1"/>
  <c r="B102" i="1"/>
  <c r="A102" i="1"/>
  <c r="D101" i="1"/>
  <c r="B101" i="1"/>
  <c r="A101" i="1"/>
  <c r="D100" i="1"/>
  <c r="B100" i="1"/>
  <c r="A100" i="1"/>
  <c r="D99" i="1"/>
  <c r="B99" i="1"/>
  <c r="A99" i="1"/>
  <c r="D98" i="1"/>
  <c r="B98" i="1"/>
  <c r="A98" i="1"/>
  <c r="D97" i="1"/>
  <c r="B97" i="1"/>
  <c r="A97" i="1"/>
  <c r="D96" i="1"/>
  <c r="B96" i="1"/>
  <c r="A96" i="1"/>
  <c r="D95" i="1"/>
  <c r="B95" i="1"/>
  <c r="A95" i="1"/>
  <c r="D94" i="1"/>
  <c r="B94" i="1"/>
  <c r="A94" i="1"/>
  <c r="D93" i="1"/>
  <c r="B93" i="1"/>
  <c r="A93" i="1"/>
  <c r="D92" i="1"/>
  <c r="B92" i="1"/>
  <c r="A92" i="1"/>
  <c r="D91" i="1"/>
  <c r="B91" i="1"/>
  <c r="A91" i="1"/>
  <c r="D90" i="1"/>
  <c r="B90" i="1"/>
  <c r="A90" i="1"/>
  <c r="D89" i="1"/>
  <c r="B89" i="1"/>
  <c r="A89" i="1"/>
  <c r="D88" i="1"/>
  <c r="B88" i="1"/>
  <c r="A88" i="1"/>
  <c r="D87" i="1"/>
  <c r="B87" i="1"/>
  <c r="A87" i="1"/>
  <c r="D86" i="1"/>
  <c r="B86" i="1"/>
  <c r="A86" i="1"/>
  <c r="D85" i="1"/>
  <c r="B85" i="1"/>
  <c r="A85" i="1"/>
  <c r="D84" i="1"/>
  <c r="B84" i="1"/>
  <c r="A84" i="1"/>
  <c r="D83" i="1"/>
  <c r="B83" i="1"/>
  <c r="A83" i="1"/>
  <c r="D82" i="1"/>
  <c r="B82" i="1"/>
  <c r="A82" i="1"/>
  <c r="D81" i="1"/>
  <c r="B81" i="1"/>
  <c r="A81" i="1"/>
  <c r="D80" i="1"/>
  <c r="B80" i="1"/>
  <c r="A80" i="1"/>
  <c r="D79" i="1"/>
  <c r="B79" i="1"/>
  <c r="A79" i="1"/>
  <c r="D78" i="1"/>
  <c r="B78" i="1"/>
  <c r="A78" i="1"/>
  <c r="D77" i="1"/>
  <c r="B77" i="1"/>
  <c r="A77" i="1"/>
  <c r="D76" i="1"/>
  <c r="B76" i="1"/>
  <c r="A76" i="1"/>
  <c r="D75" i="1"/>
  <c r="B75" i="1"/>
  <c r="A75" i="1"/>
  <c r="D74" i="1"/>
  <c r="B74" i="1"/>
  <c r="A74" i="1"/>
  <c r="D73" i="1"/>
  <c r="B73" i="1"/>
  <c r="A73" i="1"/>
  <c r="D72" i="1"/>
  <c r="B72" i="1"/>
  <c r="A72" i="1"/>
  <c r="D71" i="1"/>
  <c r="B71" i="1"/>
  <c r="A71" i="1"/>
  <c r="D70" i="1"/>
  <c r="B70" i="1"/>
  <c r="A70" i="1"/>
  <c r="D69" i="1"/>
  <c r="B69" i="1"/>
  <c r="A69" i="1"/>
  <c r="D68" i="1"/>
  <c r="B68" i="1"/>
  <c r="A68" i="1"/>
  <c r="D67" i="1"/>
  <c r="B67" i="1"/>
  <c r="A67" i="1"/>
  <c r="D66" i="1"/>
  <c r="B66" i="1"/>
  <c r="A66" i="1"/>
  <c r="D65" i="1"/>
  <c r="B65" i="1"/>
  <c r="A65" i="1"/>
  <c r="D64" i="1"/>
  <c r="B64" i="1"/>
  <c r="A64" i="1"/>
  <c r="D63" i="1"/>
  <c r="B63" i="1"/>
  <c r="A63" i="1"/>
  <c r="D62" i="1"/>
  <c r="B62" i="1"/>
  <c r="A62" i="1"/>
  <c r="D61" i="1"/>
  <c r="B61" i="1"/>
  <c r="A61" i="1"/>
  <c r="D60" i="1"/>
  <c r="B60" i="1"/>
  <c r="A60" i="1"/>
  <c r="D59" i="1"/>
  <c r="B59" i="1"/>
  <c r="A59" i="1"/>
  <c r="D58" i="1"/>
  <c r="B58" i="1"/>
  <c r="A58" i="1"/>
  <c r="D57" i="1"/>
  <c r="B57" i="1"/>
  <c r="A57" i="1"/>
  <c r="D56" i="1"/>
  <c r="B56" i="1"/>
  <c r="A56" i="1"/>
  <c r="D55" i="1"/>
  <c r="B55" i="1"/>
  <c r="A55" i="1"/>
  <c r="D54" i="1"/>
  <c r="B54" i="1"/>
  <c r="A54" i="1"/>
  <c r="D53" i="1"/>
  <c r="B53" i="1"/>
  <c r="A53" i="1"/>
  <c r="D52" i="1"/>
  <c r="B52" i="1"/>
  <c r="A52" i="1"/>
  <c r="D51" i="1"/>
  <c r="B51" i="1"/>
  <c r="A51" i="1"/>
  <c r="D50" i="1"/>
  <c r="B50" i="1"/>
  <c r="A50" i="1"/>
  <c r="D49" i="1"/>
  <c r="B49" i="1"/>
  <c r="A49" i="1"/>
  <c r="D48" i="1"/>
  <c r="B48" i="1"/>
  <c r="A48" i="1"/>
  <c r="D47" i="1"/>
  <c r="B47" i="1"/>
  <c r="A47" i="1"/>
  <c r="D46" i="1"/>
  <c r="B46" i="1"/>
  <c r="A46" i="1"/>
  <c r="D45" i="1"/>
  <c r="B45" i="1"/>
  <c r="A45" i="1"/>
  <c r="D44" i="1"/>
  <c r="B44" i="1"/>
  <c r="A44" i="1"/>
  <c r="D43" i="1"/>
  <c r="B43" i="1"/>
  <c r="A43" i="1"/>
  <c r="D42" i="1"/>
  <c r="B42" i="1"/>
  <c r="A42" i="1"/>
  <c r="D41" i="1"/>
  <c r="B41" i="1"/>
  <c r="A41" i="1"/>
  <c r="D40" i="1"/>
  <c r="B40" i="1"/>
  <c r="A40" i="1"/>
  <c r="D39" i="1"/>
  <c r="B39" i="1"/>
  <c r="A39" i="1"/>
  <c r="D38" i="1"/>
  <c r="B38" i="1"/>
  <c r="A38" i="1"/>
  <c r="D37" i="1"/>
  <c r="B37" i="1"/>
  <c r="A37" i="1"/>
  <c r="D36" i="1"/>
  <c r="B36" i="1"/>
  <c r="A36" i="1"/>
  <c r="D35" i="1"/>
  <c r="B35" i="1"/>
  <c r="A35" i="1"/>
  <c r="D34" i="1"/>
  <c r="B34" i="1"/>
  <c r="A34" i="1"/>
  <c r="D33" i="1"/>
  <c r="B33" i="1"/>
  <c r="A33" i="1"/>
  <c r="D32" i="1"/>
  <c r="B32" i="1"/>
  <c r="A32" i="1"/>
  <c r="D31" i="1"/>
  <c r="B31" i="1"/>
  <c r="A31" i="1"/>
  <c r="D30" i="1"/>
  <c r="B30" i="1"/>
  <c r="A30" i="1"/>
  <c r="D29" i="1"/>
  <c r="B29" i="1"/>
  <c r="A29" i="1"/>
  <c r="D28" i="1"/>
  <c r="B28" i="1"/>
  <c r="A28" i="1"/>
  <c r="D27" i="1"/>
  <c r="B27" i="1"/>
  <c r="A27" i="1"/>
  <c r="D26" i="1"/>
  <c r="B26" i="1"/>
  <c r="A26" i="1"/>
  <c r="D25" i="1"/>
  <c r="B25" i="1"/>
  <c r="A25" i="1"/>
  <c r="D24" i="1"/>
  <c r="B24" i="1"/>
  <c r="A24" i="1"/>
  <c r="D23" i="1"/>
  <c r="B23" i="1"/>
  <c r="A23" i="1"/>
  <c r="D22" i="1"/>
  <c r="B22" i="1"/>
  <c r="A22" i="1"/>
  <c r="D21" i="1"/>
  <c r="B21" i="1"/>
  <c r="A21" i="1"/>
  <c r="D20" i="1"/>
  <c r="B20" i="1"/>
  <c r="A20" i="1"/>
  <c r="D19" i="1"/>
  <c r="B19" i="1"/>
  <c r="A19" i="1"/>
  <c r="D18" i="1"/>
  <c r="B18" i="1"/>
  <c r="A18" i="1"/>
  <c r="D17" i="1"/>
  <c r="B17" i="1"/>
  <c r="A17" i="1"/>
  <c r="D16" i="1"/>
  <c r="B16" i="1"/>
  <c r="A16" i="1"/>
  <c r="D15" i="1"/>
  <c r="B15" i="1"/>
  <c r="A15" i="1"/>
  <c r="D14" i="1"/>
  <c r="B14" i="1"/>
  <c r="A14" i="1"/>
  <c r="D13" i="1"/>
  <c r="B13" i="1"/>
  <c r="A13" i="1"/>
  <c r="D12" i="1"/>
  <c r="B12" i="1"/>
  <c r="A12" i="1"/>
  <c r="D11" i="1"/>
  <c r="B11" i="1"/>
  <c r="A11" i="1"/>
  <c r="D10" i="1"/>
  <c r="B10" i="1"/>
  <c r="A10" i="1"/>
  <c r="D9" i="1"/>
  <c r="B9" i="1"/>
  <c r="A9" i="1"/>
  <c r="D8" i="1"/>
  <c r="B8" i="1"/>
  <c r="A8" i="1"/>
  <c r="D7" i="1"/>
  <c r="B7" i="1"/>
  <c r="A7" i="1"/>
  <c r="D6" i="1"/>
  <c r="B6" i="1"/>
  <c r="A6" i="1"/>
  <c r="D5" i="1"/>
  <c r="B5" i="1"/>
  <c r="A5" i="1"/>
  <c r="D4" i="1"/>
  <c r="B4" i="1"/>
  <c r="A4" i="1"/>
  <c r="A2" i="1"/>
</calcChain>
</file>

<file path=xl/sharedStrings.xml><?xml version="1.0" encoding="utf-8"?>
<sst xmlns="http://schemas.openxmlformats.org/spreadsheetml/2006/main" count="6" uniqueCount="6">
  <si>
    <t xml:space="preserve">Kongsberg / Atimar </t>
  </si>
  <si>
    <t>Atimar</t>
  </si>
  <si>
    <t>Quantity</t>
  </si>
  <si>
    <t>listino</t>
  </si>
  <si>
    <t>in rosso i codici</t>
  </si>
  <si>
    <t>presenti nelle promozioni R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</si>
</sst>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abSelected="1" workbookViewId="0">
      <selection activeCell="B9" sqref="B9"/>
    </sheetView>
  </sheetViews>
  <sheetFormatPr defaultRowHeight="15"/>
  <cols>
    <col min="1" max="1" width="16.42578125" bestFit="1" customWidth="1"/>
    <col min="2" max="2" width="33.85546875" bestFit="1" customWidth="1"/>
    <col min="3" max="3" width="8.7109375" bestFit="1" customWidth="1"/>
    <col min="4" max="4" width="8" customWidth="1"/>
    <col min="5" max="5" width="9.5703125" bestFit="1" customWidth="1"/>
  </cols>
  <sheetData>
    <row r="1" spans="1:5">
      <c r="A1">
        <v>2013</v>
      </c>
    </row>
    <row r="2" spans="1:5" ht="15.75">
      <c r="A2" s="1" t="str">
        <f>"Price List Code :"</f>
        <v>Price List Code :</v>
      </c>
      <c r="B2" s="2" t="s">
        <v>0</v>
      </c>
      <c r="C2" s="3"/>
      <c r="D2" s="3"/>
      <c r="E2" s="4" t="s">
        <v>1</v>
      </c>
    </row>
    <row r="3" spans="1:5" ht="15.75" thickBot="1">
      <c r="C3" s="5"/>
      <c r="D3" s="3"/>
      <c r="E3" s="6"/>
    </row>
    <row r="4" spans="1:5" ht="15.75" thickBot="1">
      <c r="A4" s="7" t="str">
        <f>"Part Number"</f>
        <v>Part Number</v>
      </c>
      <c r="B4" s="8" t="str">
        <f>"Part Description"</f>
        <v>Part Description</v>
      </c>
      <c r="C4" s="9" t="s">
        <v>2</v>
      </c>
      <c r="D4" s="9" t="str">
        <f>"Unit"</f>
        <v>Unit</v>
      </c>
      <c r="E4" s="10" t="s">
        <v>3</v>
      </c>
    </row>
    <row r="5" spans="1:5">
      <c r="A5" s="11" t="str">
        <f>"1000129485AM"</f>
        <v>1000129485AM</v>
      </c>
      <c r="B5" s="11" t="str">
        <f>"Clutch Servo"</f>
        <v>Clutch Servo</v>
      </c>
      <c r="C5" s="12">
        <v>1</v>
      </c>
      <c r="D5" s="12" t="str">
        <f t="shared" ref="D5:D68" si="0">"ea"</f>
        <v>ea</v>
      </c>
      <c r="E5" s="13">
        <v>539</v>
      </c>
    </row>
    <row r="6" spans="1:5">
      <c r="A6" s="14" t="str">
        <f>"1000132951AM"</f>
        <v>1000132951AM</v>
      </c>
      <c r="B6" s="14" t="str">
        <f>"100 mm Clutch servo"</f>
        <v>100 mm Clutch servo</v>
      </c>
      <c r="C6" s="15">
        <v>1</v>
      </c>
      <c r="D6" s="15" t="str">
        <f t="shared" si="0"/>
        <v>ea</v>
      </c>
      <c r="E6" s="13">
        <v>385</v>
      </c>
    </row>
    <row r="7" spans="1:5">
      <c r="A7" s="14" t="str">
        <f>"1000133152AM"</f>
        <v>1000133152AM</v>
      </c>
      <c r="B7" s="14" t="str">
        <f>"100 mm Clutch servo"</f>
        <v>100 mm Clutch servo</v>
      </c>
      <c r="C7" s="15">
        <v>1</v>
      </c>
      <c r="D7" s="15" t="str">
        <f t="shared" si="0"/>
        <v>ea</v>
      </c>
      <c r="E7" s="13">
        <v>374</v>
      </c>
    </row>
    <row r="8" spans="1:5">
      <c r="A8" s="14" t="str">
        <f>"1000139593AM"</f>
        <v>1000139593AM</v>
      </c>
      <c r="B8" s="14" t="str">
        <f>"100 mm Clutch servo"</f>
        <v>100 mm Clutch servo</v>
      </c>
      <c r="C8" s="15">
        <v>1</v>
      </c>
      <c r="D8" s="15" t="str">
        <f t="shared" si="0"/>
        <v>ea</v>
      </c>
      <c r="E8" s="13">
        <v>663</v>
      </c>
    </row>
    <row r="9" spans="1:5">
      <c r="A9" s="14" t="str">
        <f>"1000178631AM"</f>
        <v>1000178631AM</v>
      </c>
      <c r="B9" s="14" t="str">
        <f>"Clutch Servo 125mm"</f>
        <v>Clutch Servo 125mm</v>
      </c>
      <c r="C9" s="15">
        <v>1</v>
      </c>
      <c r="D9" s="15" t="str">
        <f t="shared" si="0"/>
        <v>ea</v>
      </c>
      <c r="E9" s="13">
        <v>425</v>
      </c>
    </row>
    <row r="10" spans="1:5">
      <c r="A10" s="14" t="str">
        <f>"1000179039AM"</f>
        <v>1000179039AM</v>
      </c>
      <c r="B10" s="14" t="str">
        <f>"Scania Master Cylinder"</f>
        <v>Scania Master Cylinder</v>
      </c>
      <c r="C10" s="15">
        <v>1</v>
      </c>
      <c r="D10" s="15" t="str">
        <f t="shared" si="0"/>
        <v>ea</v>
      </c>
      <c r="E10" s="13">
        <v>178.2</v>
      </c>
    </row>
    <row r="11" spans="1:5">
      <c r="A11" s="14" t="str">
        <f>"1000184461AM"</f>
        <v>1000184461AM</v>
      </c>
      <c r="B11" s="14" t="str">
        <f>"Clutch Servo 100mm (was 628554)"</f>
        <v>Clutch Servo 100mm (was 628554)</v>
      </c>
      <c r="C11" s="15">
        <v>1</v>
      </c>
      <c r="D11" s="15" t="str">
        <f t="shared" si="0"/>
        <v>ea</v>
      </c>
      <c r="E11" s="13">
        <v>449</v>
      </c>
    </row>
    <row r="12" spans="1:5">
      <c r="A12" s="14" t="str">
        <f>"1000274399AM"</f>
        <v>1000274399AM</v>
      </c>
      <c r="B12" s="14" t="str">
        <f>"100mm Clutch Servo"</f>
        <v>100mm Clutch Servo</v>
      </c>
      <c r="C12" s="15">
        <v>1</v>
      </c>
      <c r="D12" s="15" t="str">
        <f t="shared" si="0"/>
        <v>ea</v>
      </c>
      <c r="E12" s="13">
        <v>504</v>
      </c>
    </row>
    <row r="13" spans="1:5">
      <c r="A13" s="14" t="str">
        <f>"1000295743AM"</f>
        <v>1000295743AM</v>
      </c>
      <c r="B13" s="14" t="str">
        <f>"Rep. Kit for anti roll bar (1 PAIR)"</f>
        <v>Rep. Kit for anti roll bar (1 PAIR)</v>
      </c>
      <c r="C13" s="15">
        <v>1</v>
      </c>
      <c r="D13" s="15" t="str">
        <f t="shared" si="0"/>
        <v>ea</v>
      </c>
      <c r="E13" s="13">
        <v>134.19999999999999</v>
      </c>
    </row>
    <row r="14" spans="1:5">
      <c r="A14" s="14" t="str">
        <f>"1000295750AM"</f>
        <v>1000295750AM</v>
      </c>
      <c r="B14" s="14" t="str">
        <f>"Rep. Kit for anti roll bar (1 PAIR)"</f>
        <v>Rep. Kit for anti roll bar (1 PAIR)</v>
      </c>
      <c r="C14" s="15">
        <v>1</v>
      </c>
      <c r="D14" s="15" t="str">
        <f t="shared" si="0"/>
        <v>ea</v>
      </c>
      <c r="E14" s="13">
        <v>244</v>
      </c>
    </row>
    <row r="15" spans="1:5">
      <c r="A15" s="14" t="str">
        <f>"1000313002AM"</f>
        <v>1000313002AM</v>
      </c>
      <c r="B15" s="14" t="str">
        <f>"Clutch Servo"</f>
        <v>Clutch Servo</v>
      </c>
      <c r="C15" s="15">
        <v>1</v>
      </c>
      <c r="D15" s="15" t="str">
        <f t="shared" si="0"/>
        <v>ea</v>
      </c>
      <c r="E15" s="13">
        <v>173.4</v>
      </c>
    </row>
    <row r="16" spans="1:5">
      <c r="A16" s="14" t="str">
        <f>"1000313009AM"</f>
        <v>1000313009AM</v>
      </c>
      <c r="B16" s="14" t="str">
        <f>"Clutch Servo"</f>
        <v>Clutch Servo</v>
      </c>
      <c r="C16" s="15">
        <v>1</v>
      </c>
      <c r="D16" s="15" t="str">
        <f t="shared" si="0"/>
        <v>ea</v>
      </c>
      <c r="E16" s="13">
        <v>162</v>
      </c>
    </row>
    <row r="17" spans="1:5">
      <c r="A17" s="14" t="str">
        <f>"1000313011AM"</f>
        <v>1000313011AM</v>
      </c>
      <c r="B17" s="14" t="str">
        <f>"Clutch Servo"</f>
        <v>Clutch Servo</v>
      </c>
      <c r="C17" s="15">
        <v>1</v>
      </c>
      <c r="D17" s="15" t="str">
        <f t="shared" si="0"/>
        <v>ea</v>
      </c>
      <c r="E17" s="13">
        <v>157.30000000000001</v>
      </c>
    </row>
    <row r="18" spans="1:5">
      <c r="A18" s="14" t="str">
        <f>"1000332424AM"</f>
        <v>1000332424AM</v>
      </c>
      <c r="B18" s="14" t="str">
        <f>"Clutch Servo 80 mm"</f>
        <v>Clutch Servo 80 mm</v>
      </c>
      <c r="C18" s="15">
        <v>1</v>
      </c>
      <c r="D18" s="15" t="str">
        <f t="shared" si="0"/>
        <v>ea</v>
      </c>
      <c r="E18" s="13">
        <v>416</v>
      </c>
    </row>
    <row r="19" spans="1:5">
      <c r="A19" s="14" t="str">
        <f>"1000332427AM"</f>
        <v>1000332427AM</v>
      </c>
      <c r="B19" s="14" t="str">
        <f>"Clutch Servo"</f>
        <v>Clutch Servo</v>
      </c>
      <c r="C19" s="15">
        <v>1</v>
      </c>
      <c r="D19" s="15" t="str">
        <f t="shared" si="0"/>
        <v>ea</v>
      </c>
      <c r="E19" s="13">
        <v>401</v>
      </c>
    </row>
    <row r="20" spans="1:5">
      <c r="A20" s="14" t="str">
        <f>"1000332429AM"</f>
        <v>1000332429AM</v>
      </c>
      <c r="B20" s="14" t="str">
        <f>"80 mm Cluch Servo"</f>
        <v>80 mm Cluch Servo</v>
      </c>
      <c r="C20" s="15">
        <v>1</v>
      </c>
      <c r="D20" s="15" t="str">
        <f t="shared" si="0"/>
        <v>ea</v>
      </c>
      <c r="E20" s="13">
        <v>401</v>
      </c>
    </row>
    <row r="21" spans="1:5">
      <c r="A21" s="14" t="str">
        <f>"1000332446AM"</f>
        <v>1000332446AM</v>
      </c>
      <c r="B21" s="14" t="str">
        <f>"Clutch Servo"</f>
        <v>Clutch Servo</v>
      </c>
      <c r="C21" s="15">
        <v>1</v>
      </c>
      <c r="D21" s="15" t="str">
        <f t="shared" si="0"/>
        <v>ea</v>
      </c>
      <c r="E21" s="13">
        <v>390</v>
      </c>
    </row>
    <row r="22" spans="1:5">
      <c r="A22" s="14" t="str">
        <f>"1000332714AM"</f>
        <v>1000332714AM</v>
      </c>
      <c r="B22" s="14" t="str">
        <f>"Clutch Servo"</f>
        <v>Clutch Servo</v>
      </c>
      <c r="C22" s="15">
        <v>1</v>
      </c>
      <c r="D22" s="15" t="str">
        <f t="shared" si="0"/>
        <v>ea</v>
      </c>
      <c r="E22" s="13">
        <v>390</v>
      </c>
    </row>
    <row r="23" spans="1:5">
      <c r="A23" s="14" t="str">
        <f>"5049000905SAM"</f>
        <v>5049000905SAM</v>
      </c>
      <c r="B23" s="14" t="str">
        <f>"Cable Shifter"</f>
        <v>Cable Shifter</v>
      </c>
      <c r="C23" s="15">
        <v>1</v>
      </c>
      <c r="D23" s="15" t="str">
        <f t="shared" si="0"/>
        <v>ea</v>
      </c>
      <c r="E23" s="13">
        <v>209</v>
      </c>
    </row>
    <row r="24" spans="1:5">
      <c r="A24" s="14" t="str">
        <f>"5049000907SAM"</f>
        <v>5049000907SAM</v>
      </c>
      <c r="B24" s="14" t="str">
        <f>"Cable Shifter"</f>
        <v>Cable Shifter</v>
      </c>
      <c r="C24" s="15">
        <v>1</v>
      </c>
      <c r="D24" s="15" t="str">
        <f t="shared" si="0"/>
        <v>ea</v>
      </c>
      <c r="E24" s="13">
        <v>203</v>
      </c>
    </row>
    <row r="25" spans="1:5">
      <c r="A25" s="14" t="str">
        <f>"5049000911SAM"</f>
        <v>5049000911SAM</v>
      </c>
      <c r="B25" s="14" t="str">
        <f>"Cable Shifter"</f>
        <v>Cable Shifter</v>
      </c>
      <c r="C25" s="15">
        <v>1</v>
      </c>
      <c r="D25" s="15" t="str">
        <f t="shared" si="0"/>
        <v>ea</v>
      </c>
      <c r="E25" s="13">
        <v>173</v>
      </c>
    </row>
    <row r="26" spans="1:5">
      <c r="A26" s="14" t="str">
        <f>"5049000913SAM"</f>
        <v>5049000913SAM</v>
      </c>
      <c r="B26" s="14" t="str">
        <f>"Cable Shifter"</f>
        <v>Cable Shifter</v>
      </c>
      <c r="C26" s="15">
        <v>1</v>
      </c>
      <c r="D26" s="15" t="str">
        <f t="shared" si="0"/>
        <v>ea</v>
      </c>
      <c r="E26" s="13">
        <v>169</v>
      </c>
    </row>
    <row r="27" spans="1:5">
      <c r="A27" s="14" t="str">
        <f>"5049000915SAM"</f>
        <v>5049000915SAM</v>
      </c>
      <c r="B27" s="14" t="str">
        <f>"Cable Select"</f>
        <v>Cable Select</v>
      </c>
      <c r="C27" s="15">
        <v>1</v>
      </c>
      <c r="D27" s="15" t="str">
        <f t="shared" si="0"/>
        <v>ea</v>
      </c>
      <c r="E27" s="13">
        <v>174</v>
      </c>
    </row>
    <row r="28" spans="1:5">
      <c r="A28" s="14" t="str">
        <f>"5049000917SAM"</f>
        <v>5049000917SAM</v>
      </c>
      <c r="B28" s="14" t="str">
        <f>"Cable Shifter"</f>
        <v>Cable Shifter</v>
      </c>
      <c r="C28" s="15">
        <v>1</v>
      </c>
      <c r="D28" s="15" t="str">
        <f t="shared" si="0"/>
        <v>ea</v>
      </c>
      <c r="E28" s="13">
        <v>180</v>
      </c>
    </row>
    <row r="29" spans="1:5">
      <c r="A29" s="14" t="str">
        <f>"5049000919SAM"</f>
        <v>5049000919SAM</v>
      </c>
      <c r="B29" s="14" t="str">
        <f>"Gear Shift Cable Select"</f>
        <v>Gear Shift Cable Select</v>
      </c>
      <c r="C29" s="15">
        <v>1</v>
      </c>
      <c r="D29" s="15" t="str">
        <f t="shared" si="0"/>
        <v>ea</v>
      </c>
      <c r="E29" s="13">
        <v>175</v>
      </c>
    </row>
    <row r="30" spans="1:5">
      <c r="A30" s="14" t="str">
        <f>"5049000921SAM"</f>
        <v>5049000921SAM</v>
      </c>
      <c r="B30" s="14" t="str">
        <f>"Cable Shifter"</f>
        <v>Cable Shifter</v>
      </c>
      <c r="C30" s="15">
        <v>1</v>
      </c>
      <c r="D30" s="15" t="str">
        <f t="shared" si="0"/>
        <v>ea</v>
      </c>
      <c r="E30" s="13">
        <v>181</v>
      </c>
    </row>
    <row r="31" spans="1:5">
      <c r="A31" s="14" t="str">
        <f>"5049000923SAM"</f>
        <v>5049000923SAM</v>
      </c>
      <c r="B31" s="14" t="str">
        <f>"Gear Shift Cable Select"</f>
        <v>Gear Shift Cable Select</v>
      </c>
      <c r="C31" s="15">
        <v>1</v>
      </c>
      <c r="D31" s="15" t="str">
        <f t="shared" si="0"/>
        <v>ea</v>
      </c>
      <c r="E31" s="13">
        <v>177</v>
      </c>
    </row>
    <row r="32" spans="1:5">
      <c r="A32" s="14" t="str">
        <f>"5049000925SAM"</f>
        <v>5049000925SAM</v>
      </c>
      <c r="B32" s="14" t="str">
        <f>"Gear Shift Cable Select"</f>
        <v>Gear Shift Cable Select</v>
      </c>
      <c r="C32" s="15">
        <v>1</v>
      </c>
      <c r="D32" s="15" t="str">
        <f t="shared" si="0"/>
        <v>ea</v>
      </c>
      <c r="E32" s="13">
        <v>182</v>
      </c>
    </row>
    <row r="33" spans="1:5">
      <c r="A33" s="14" t="str">
        <f>"5049000927SAM"</f>
        <v>5049000927SAM</v>
      </c>
      <c r="B33" s="14" t="str">
        <f>"Cable Shifter"</f>
        <v>Cable Shifter</v>
      </c>
      <c r="C33" s="15">
        <v>1</v>
      </c>
      <c r="D33" s="15" t="str">
        <f t="shared" si="0"/>
        <v>ea</v>
      </c>
      <c r="E33" s="13">
        <v>165</v>
      </c>
    </row>
    <row r="34" spans="1:5">
      <c r="A34" s="14" t="str">
        <f>"5049000929SAM"</f>
        <v>5049000929SAM</v>
      </c>
      <c r="B34" s="14" t="str">
        <f>"Gear Shift Cable Select"</f>
        <v>Gear Shift Cable Select</v>
      </c>
      <c r="C34" s="15">
        <v>1</v>
      </c>
      <c r="D34" s="15" t="str">
        <f t="shared" si="0"/>
        <v>ea</v>
      </c>
      <c r="E34" s="13">
        <v>166</v>
      </c>
    </row>
    <row r="35" spans="1:5">
      <c r="A35" s="14" t="str">
        <f>"5049000931SAM"</f>
        <v>5049000931SAM</v>
      </c>
      <c r="B35" s="14" t="str">
        <f t="shared" ref="B35:B45" si="1">"Cable Shifter"</f>
        <v>Cable Shifter</v>
      </c>
      <c r="C35" s="15">
        <v>1</v>
      </c>
      <c r="D35" s="15" t="str">
        <f t="shared" si="0"/>
        <v>ea</v>
      </c>
      <c r="E35" s="13">
        <v>286</v>
      </c>
    </row>
    <row r="36" spans="1:5">
      <c r="A36" s="14" t="str">
        <f>"5049000933SAM"</f>
        <v>5049000933SAM</v>
      </c>
      <c r="B36" s="14" t="str">
        <f t="shared" si="1"/>
        <v>Cable Shifter</v>
      </c>
      <c r="C36" s="15">
        <v>1</v>
      </c>
      <c r="D36" s="15" t="str">
        <f t="shared" si="0"/>
        <v>ea</v>
      </c>
      <c r="E36" s="13">
        <v>168</v>
      </c>
    </row>
    <row r="37" spans="1:5">
      <c r="A37" s="14" t="str">
        <f>"5049000935SAM"</f>
        <v>5049000935SAM</v>
      </c>
      <c r="B37" s="14" t="str">
        <f t="shared" si="1"/>
        <v>Cable Shifter</v>
      </c>
      <c r="C37" s="15">
        <v>1</v>
      </c>
      <c r="D37" s="15" t="str">
        <f t="shared" si="0"/>
        <v>ea</v>
      </c>
      <c r="E37" s="13">
        <v>220</v>
      </c>
    </row>
    <row r="38" spans="1:5">
      <c r="A38" s="14" t="str">
        <f>"5049000937SAM"</f>
        <v>5049000937SAM</v>
      </c>
      <c r="B38" s="14" t="str">
        <f t="shared" si="1"/>
        <v>Cable Shifter</v>
      </c>
      <c r="C38" s="15">
        <v>1</v>
      </c>
      <c r="D38" s="15" t="str">
        <f t="shared" si="0"/>
        <v>ea</v>
      </c>
      <c r="E38" s="13">
        <v>164</v>
      </c>
    </row>
    <row r="39" spans="1:5">
      <c r="A39" s="14" t="str">
        <f>"5049000939SAM"</f>
        <v>5049000939SAM</v>
      </c>
      <c r="B39" s="14" t="str">
        <f t="shared" si="1"/>
        <v>Cable Shifter</v>
      </c>
      <c r="C39" s="15">
        <v>1</v>
      </c>
      <c r="D39" s="15" t="str">
        <f t="shared" si="0"/>
        <v>ea</v>
      </c>
      <c r="E39" s="13">
        <v>210</v>
      </c>
    </row>
    <row r="40" spans="1:5">
      <c r="A40" s="14" t="str">
        <f>"5049000941SAM"</f>
        <v>5049000941SAM</v>
      </c>
      <c r="B40" s="14" t="str">
        <f t="shared" si="1"/>
        <v>Cable Shifter</v>
      </c>
      <c r="C40" s="15">
        <v>1</v>
      </c>
      <c r="D40" s="15" t="str">
        <f t="shared" si="0"/>
        <v>ea</v>
      </c>
      <c r="E40" s="13">
        <v>205</v>
      </c>
    </row>
    <row r="41" spans="1:5">
      <c r="A41" s="14" t="str">
        <f>"5049000943SAM"</f>
        <v>5049000943SAM</v>
      </c>
      <c r="B41" s="14" t="str">
        <f t="shared" si="1"/>
        <v>Cable Shifter</v>
      </c>
      <c r="C41" s="15">
        <v>1</v>
      </c>
      <c r="D41" s="15" t="str">
        <f t="shared" si="0"/>
        <v>ea</v>
      </c>
      <c r="E41" s="13">
        <v>210</v>
      </c>
    </row>
    <row r="42" spans="1:5">
      <c r="A42" s="14" t="str">
        <f>"5049000945SAM"</f>
        <v>5049000945SAM</v>
      </c>
      <c r="B42" s="14" t="str">
        <f t="shared" si="1"/>
        <v>Cable Shifter</v>
      </c>
      <c r="C42" s="15">
        <v>1</v>
      </c>
      <c r="D42" s="15" t="str">
        <f t="shared" si="0"/>
        <v>ea</v>
      </c>
      <c r="E42" s="13">
        <v>217</v>
      </c>
    </row>
    <row r="43" spans="1:5">
      <c r="A43" s="14" t="str">
        <f>"5049000947SAM"</f>
        <v>5049000947SAM</v>
      </c>
      <c r="B43" s="14" t="str">
        <f t="shared" si="1"/>
        <v>Cable Shifter</v>
      </c>
      <c r="C43" s="15">
        <v>1</v>
      </c>
      <c r="D43" s="15" t="str">
        <f t="shared" si="0"/>
        <v>ea</v>
      </c>
      <c r="E43" s="13">
        <v>212</v>
      </c>
    </row>
    <row r="44" spans="1:5">
      <c r="A44" s="14" t="str">
        <f>"5049000949SAM"</f>
        <v>5049000949SAM</v>
      </c>
      <c r="B44" s="14" t="str">
        <f t="shared" si="1"/>
        <v>Cable Shifter</v>
      </c>
      <c r="C44" s="15">
        <v>1</v>
      </c>
      <c r="D44" s="15" t="str">
        <f t="shared" si="0"/>
        <v>ea</v>
      </c>
      <c r="E44" s="13">
        <v>217</v>
      </c>
    </row>
    <row r="45" spans="1:5">
      <c r="A45" s="14" t="str">
        <f>"5049000951SAM"</f>
        <v>5049000951SAM</v>
      </c>
      <c r="B45" s="14" t="str">
        <f t="shared" si="1"/>
        <v>Cable Shifter</v>
      </c>
      <c r="C45" s="15">
        <v>1</v>
      </c>
      <c r="D45" s="15" t="str">
        <f t="shared" si="0"/>
        <v>ea</v>
      </c>
      <c r="E45" s="13">
        <v>210</v>
      </c>
    </row>
    <row r="46" spans="1:5">
      <c r="A46" s="14" t="str">
        <f>"5049000953SAM"</f>
        <v>5049000953SAM</v>
      </c>
      <c r="B46" s="14" t="str">
        <f>"Gear Shift Cable Select"</f>
        <v>Gear Shift Cable Select</v>
      </c>
      <c r="C46" s="15">
        <v>1</v>
      </c>
      <c r="D46" s="15" t="str">
        <f t="shared" si="0"/>
        <v>ea</v>
      </c>
      <c r="E46" s="13">
        <v>224</v>
      </c>
    </row>
    <row r="47" spans="1:5">
      <c r="A47" s="14" t="str">
        <f>"5049000955SAM"</f>
        <v>5049000955SAM</v>
      </c>
      <c r="B47" s="14" t="str">
        <f t="shared" ref="B47:B54" si="2">"Cable Shifter"</f>
        <v>Cable Shifter</v>
      </c>
      <c r="C47" s="15">
        <v>1</v>
      </c>
      <c r="D47" s="15" t="str">
        <f t="shared" si="0"/>
        <v>ea</v>
      </c>
      <c r="E47" s="13">
        <v>244</v>
      </c>
    </row>
    <row r="48" spans="1:5">
      <c r="A48" s="14" t="str">
        <f>"5049000957SAM"</f>
        <v>5049000957SAM</v>
      </c>
      <c r="B48" s="14" t="str">
        <f t="shared" si="2"/>
        <v>Cable Shifter</v>
      </c>
      <c r="C48" s="15">
        <v>1</v>
      </c>
      <c r="D48" s="15" t="str">
        <f t="shared" si="0"/>
        <v>ea</v>
      </c>
      <c r="E48" s="13">
        <v>212</v>
      </c>
    </row>
    <row r="49" spans="1:5">
      <c r="A49" s="14" t="str">
        <f>"5049000959SAM"</f>
        <v>5049000959SAM</v>
      </c>
      <c r="B49" s="14" t="str">
        <f t="shared" si="2"/>
        <v>Cable Shifter</v>
      </c>
      <c r="C49" s="15">
        <v>1</v>
      </c>
      <c r="D49" s="15" t="str">
        <f t="shared" si="0"/>
        <v>ea</v>
      </c>
      <c r="E49" s="13">
        <v>225</v>
      </c>
    </row>
    <row r="50" spans="1:5">
      <c r="A50" s="14" t="str">
        <f>"5049000961SAM"</f>
        <v>5049000961SAM</v>
      </c>
      <c r="B50" s="14" t="str">
        <f t="shared" si="2"/>
        <v>Cable Shifter</v>
      </c>
      <c r="C50" s="15">
        <v>1</v>
      </c>
      <c r="D50" s="15" t="str">
        <f t="shared" si="0"/>
        <v>ea</v>
      </c>
      <c r="E50" s="13">
        <v>181</v>
      </c>
    </row>
    <row r="51" spans="1:5">
      <c r="A51" s="14" t="str">
        <f>"5049001043SAM"</f>
        <v>5049001043SAM</v>
      </c>
      <c r="B51" s="14" t="str">
        <f t="shared" si="2"/>
        <v>Cable Shifter</v>
      </c>
      <c r="C51" s="15">
        <v>1</v>
      </c>
      <c r="D51" s="15" t="str">
        <f t="shared" si="0"/>
        <v>ea</v>
      </c>
      <c r="E51" s="13">
        <v>236</v>
      </c>
    </row>
    <row r="52" spans="1:5">
      <c r="A52" s="14" t="str">
        <f>"5049001045SAM"</f>
        <v>5049001045SAM</v>
      </c>
      <c r="B52" s="14" t="str">
        <f t="shared" si="2"/>
        <v>Cable Shifter</v>
      </c>
      <c r="C52" s="15">
        <v>1</v>
      </c>
      <c r="D52" s="15" t="str">
        <f t="shared" si="0"/>
        <v>ea</v>
      </c>
      <c r="E52" s="13">
        <v>230</v>
      </c>
    </row>
    <row r="53" spans="1:5">
      <c r="A53" s="14" t="str">
        <f>"5049001047SAM"</f>
        <v>5049001047SAM</v>
      </c>
      <c r="B53" s="14" t="str">
        <f t="shared" si="2"/>
        <v>Cable Shifter</v>
      </c>
      <c r="C53" s="15">
        <v>1</v>
      </c>
      <c r="D53" s="15" t="str">
        <f t="shared" si="0"/>
        <v>ea</v>
      </c>
      <c r="E53" s="13">
        <v>197</v>
      </c>
    </row>
    <row r="54" spans="1:5">
      <c r="A54" s="14" t="str">
        <f>"5049001049SAM"</f>
        <v>5049001049SAM</v>
      </c>
      <c r="B54" s="14" t="str">
        <f t="shared" si="2"/>
        <v>Cable Shifter</v>
      </c>
      <c r="C54" s="15">
        <v>1</v>
      </c>
      <c r="D54" s="15" t="str">
        <f t="shared" si="0"/>
        <v>ea</v>
      </c>
      <c r="E54" s="13">
        <v>193</v>
      </c>
    </row>
    <row r="55" spans="1:5">
      <c r="A55" s="14" t="str">
        <f>"5049001051SAM"</f>
        <v>5049001051SAM</v>
      </c>
      <c r="B55" s="14" t="str">
        <f>"Gear Shift Cable Shift"</f>
        <v>Gear Shift Cable Shift</v>
      </c>
      <c r="C55" s="15">
        <v>1</v>
      </c>
      <c r="D55" s="15" t="str">
        <f t="shared" si="0"/>
        <v>ea</v>
      </c>
      <c r="E55" s="13">
        <v>199</v>
      </c>
    </row>
    <row r="56" spans="1:5">
      <c r="A56" s="14" t="str">
        <f>"5049001053SAM"</f>
        <v>5049001053SAM</v>
      </c>
      <c r="B56" s="14" t="str">
        <f>"Cable Shifter"</f>
        <v>Cable Shifter</v>
      </c>
      <c r="C56" s="15">
        <v>1</v>
      </c>
      <c r="D56" s="15" t="str">
        <f t="shared" si="0"/>
        <v>ea</v>
      </c>
      <c r="E56" s="13">
        <v>193</v>
      </c>
    </row>
    <row r="57" spans="1:5">
      <c r="A57" s="14" t="str">
        <f>"5049001055SAM"</f>
        <v>5049001055SAM</v>
      </c>
      <c r="B57" s="14" t="str">
        <f>"Gear Shift Cable Shift"</f>
        <v>Gear Shift Cable Shift</v>
      </c>
      <c r="C57" s="15">
        <v>1</v>
      </c>
      <c r="D57" s="15" t="str">
        <f t="shared" si="0"/>
        <v>ea</v>
      </c>
      <c r="E57" s="13">
        <v>202</v>
      </c>
    </row>
    <row r="58" spans="1:5">
      <c r="A58" s="14" t="str">
        <f>"5049001057SAM"</f>
        <v>5049001057SAM</v>
      </c>
      <c r="B58" s="14" t="str">
        <f>"Cable Shifter"</f>
        <v>Cable Shifter</v>
      </c>
      <c r="C58" s="15">
        <v>1</v>
      </c>
      <c r="D58" s="15" t="str">
        <f t="shared" si="0"/>
        <v>ea</v>
      </c>
      <c r="E58" s="13">
        <v>204</v>
      </c>
    </row>
    <row r="59" spans="1:5">
      <c r="A59" s="14" t="str">
        <f>"5049001059SAM"</f>
        <v>5049001059SAM</v>
      </c>
      <c r="B59" s="14" t="str">
        <f>"Gear Shift Cable Shift"</f>
        <v>Gear Shift Cable Shift</v>
      </c>
      <c r="C59" s="15">
        <v>1</v>
      </c>
      <c r="D59" s="15" t="str">
        <f t="shared" si="0"/>
        <v>ea</v>
      </c>
      <c r="E59" s="13">
        <v>201</v>
      </c>
    </row>
    <row r="60" spans="1:5">
      <c r="A60" s="14" t="str">
        <f>"5049001061SAM"</f>
        <v>5049001061SAM</v>
      </c>
      <c r="B60" s="14" t="str">
        <f>"Cable Shifter"</f>
        <v>Cable Shifter</v>
      </c>
      <c r="C60" s="15">
        <v>1</v>
      </c>
      <c r="D60" s="15" t="str">
        <f t="shared" si="0"/>
        <v>ea</v>
      </c>
      <c r="E60" s="13">
        <v>208</v>
      </c>
    </row>
    <row r="61" spans="1:5">
      <c r="A61" s="14" t="str">
        <f>"5049001063SAM"</f>
        <v>5049001063SAM</v>
      </c>
      <c r="B61" s="14" t="str">
        <f>"Cable Shifter"</f>
        <v>Cable Shifter</v>
      </c>
      <c r="C61" s="15">
        <v>1</v>
      </c>
      <c r="D61" s="15" t="str">
        <f t="shared" si="0"/>
        <v>ea</v>
      </c>
      <c r="E61" s="13">
        <v>191</v>
      </c>
    </row>
    <row r="62" spans="1:5">
      <c r="A62" s="14" t="str">
        <f>"5049001065SAM"</f>
        <v>5049001065SAM</v>
      </c>
      <c r="B62" s="14" t="str">
        <f>"Gear Shift Cable Shift"</f>
        <v>Gear Shift Cable Shift</v>
      </c>
      <c r="C62" s="15">
        <v>1</v>
      </c>
      <c r="D62" s="15" t="str">
        <f t="shared" si="0"/>
        <v>ea</v>
      </c>
      <c r="E62" s="13">
        <v>192</v>
      </c>
    </row>
    <row r="63" spans="1:5">
      <c r="A63" s="14" t="str">
        <f>"5049001067SAM"</f>
        <v>5049001067SAM</v>
      </c>
      <c r="B63" s="14" t="str">
        <f>"Cable Shifter"</f>
        <v>Cable Shifter</v>
      </c>
      <c r="C63" s="15">
        <v>1</v>
      </c>
      <c r="D63" s="15" t="str">
        <f t="shared" si="0"/>
        <v>ea</v>
      </c>
      <c r="E63" s="13">
        <v>327</v>
      </c>
    </row>
    <row r="64" spans="1:5">
      <c r="A64" s="14" t="str">
        <f>"5049001069SAM"</f>
        <v>5049001069SAM</v>
      </c>
      <c r="B64" s="14" t="str">
        <f>"Cable shifter"</f>
        <v>Cable shifter</v>
      </c>
      <c r="C64" s="15">
        <v>1</v>
      </c>
      <c r="D64" s="15" t="str">
        <f t="shared" si="0"/>
        <v>ea</v>
      </c>
      <c r="E64" s="13">
        <v>178</v>
      </c>
    </row>
    <row r="65" spans="1:5">
      <c r="A65" s="14" t="str">
        <f>"5049001071SAM"</f>
        <v>5049001071SAM</v>
      </c>
      <c r="B65" s="14" t="str">
        <f>"Cable Shifter"</f>
        <v>Cable Shifter</v>
      </c>
      <c r="C65" s="15">
        <v>1</v>
      </c>
      <c r="D65" s="15" t="str">
        <f t="shared" si="0"/>
        <v>ea</v>
      </c>
      <c r="E65" s="13">
        <v>194</v>
      </c>
    </row>
    <row r="66" spans="1:5">
      <c r="A66" s="14" t="str">
        <f>"5049001073SAM"</f>
        <v>5049001073SAM</v>
      </c>
      <c r="B66" s="14" t="str">
        <f>"Cable Shifter"</f>
        <v>Cable Shifter</v>
      </c>
      <c r="C66" s="15">
        <v>1</v>
      </c>
      <c r="D66" s="15" t="str">
        <f t="shared" si="0"/>
        <v>ea</v>
      </c>
      <c r="E66" s="13">
        <v>186</v>
      </c>
    </row>
    <row r="67" spans="1:5">
      <c r="A67" s="14" t="str">
        <f>"5049001075SAM"</f>
        <v>5049001075SAM</v>
      </c>
      <c r="B67" s="14" t="str">
        <f>"Cable Shifter"</f>
        <v>Cable Shifter</v>
      </c>
      <c r="C67" s="15">
        <v>1</v>
      </c>
      <c r="D67" s="15" t="str">
        <f t="shared" si="0"/>
        <v>ea</v>
      </c>
      <c r="E67" s="13">
        <v>230</v>
      </c>
    </row>
    <row r="68" spans="1:5">
      <c r="A68" s="14" t="str">
        <f>"5049001077SAM"</f>
        <v>5049001077SAM</v>
      </c>
      <c r="B68" s="14" t="str">
        <f>"Cable Shifter"</f>
        <v>Cable Shifter</v>
      </c>
      <c r="C68" s="15">
        <v>1</v>
      </c>
      <c r="D68" s="15" t="str">
        <f t="shared" si="0"/>
        <v>ea</v>
      </c>
      <c r="E68" s="13">
        <v>242</v>
      </c>
    </row>
    <row r="69" spans="1:5">
      <c r="A69" s="14" t="str">
        <f>"5049001079SAM"</f>
        <v>5049001079SAM</v>
      </c>
      <c r="B69" s="14" t="str">
        <f>"Gear Shift Cable Shift"</f>
        <v>Gear Shift Cable Shift</v>
      </c>
      <c r="C69" s="15">
        <v>1</v>
      </c>
      <c r="D69" s="15" t="str">
        <f t="shared" ref="D69:D132" si="3">"ea"</f>
        <v>ea</v>
      </c>
      <c r="E69" s="13">
        <v>238</v>
      </c>
    </row>
    <row r="70" spans="1:5">
      <c r="A70" s="14" t="str">
        <f>"5049001081SAM"</f>
        <v>5049001081SAM</v>
      </c>
      <c r="B70" s="14" t="str">
        <f t="shared" ref="B70:B78" si="4">"Cable Shifter"</f>
        <v>Cable Shifter</v>
      </c>
      <c r="C70" s="15">
        <v>1</v>
      </c>
      <c r="D70" s="15" t="str">
        <f t="shared" si="3"/>
        <v>ea</v>
      </c>
      <c r="E70" s="13">
        <v>244</v>
      </c>
    </row>
    <row r="71" spans="1:5">
      <c r="A71" s="14" t="str">
        <f>"5049001083SAM"</f>
        <v>5049001083SAM</v>
      </c>
      <c r="B71" s="14" t="str">
        <f t="shared" si="4"/>
        <v>Cable Shifter</v>
      </c>
      <c r="C71" s="15">
        <v>1</v>
      </c>
      <c r="D71" s="15" t="str">
        <f t="shared" si="3"/>
        <v>ea</v>
      </c>
      <c r="E71" s="13">
        <v>232</v>
      </c>
    </row>
    <row r="72" spans="1:5">
      <c r="A72" s="14" t="str">
        <f>"5049001085SAM"</f>
        <v>5049001085SAM</v>
      </c>
      <c r="B72" s="14" t="str">
        <f t="shared" si="4"/>
        <v>Cable Shifter</v>
      </c>
      <c r="C72" s="15">
        <v>1</v>
      </c>
      <c r="D72" s="15" t="str">
        <f t="shared" si="3"/>
        <v>ea</v>
      </c>
      <c r="E72" s="13">
        <v>244</v>
      </c>
    </row>
    <row r="73" spans="1:5">
      <c r="A73" s="14" t="str">
        <f>"5049001087SAM"</f>
        <v>5049001087SAM</v>
      </c>
      <c r="B73" s="14" t="str">
        <f t="shared" si="4"/>
        <v>Cable Shifter</v>
      </c>
      <c r="C73" s="15">
        <v>1</v>
      </c>
      <c r="D73" s="15" t="str">
        <f t="shared" si="3"/>
        <v>ea</v>
      </c>
      <c r="E73" s="13">
        <v>247</v>
      </c>
    </row>
    <row r="74" spans="1:5">
      <c r="A74" s="14" t="str">
        <f>"5049001089SAM"</f>
        <v>5049001089SAM</v>
      </c>
      <c r="B74" s="14" t="str">
        <f t="shared" si="4"/>
        <v>Cable Shifter</v>
      </c>
      <c r="C74" s="15">
        <v>1</v>
      </c>
      <c r="D74" s="15" t="str">
        <f t="shared" si="3"/>
        <v>ea</v>
      </c>
      <c r="E74" s="13">
        <v>248</v>
      </c>
    </row>
    <row r="75" spans="1:5">
      <c r="A75" s="14" t="str">
        <f>"5049001091SAM"</f>
        <v>5049001091SAM</v>
      </c>
      <c r="B75" s="14" t="str">
        <f t="shared" si="4"/>
        <v>Cable Shifter</v>
      </c>
      <c r="C75" s="15">
        <v>1</v>
      </c>
      <c r="D75" s="15" t="str">
        <f t="shared" si="3"/>
        <v>ea</v>
      </c>
      <c r="E75" s="13">
        <v>262</v>
      </c>
    </row>
    <row r="76" spans="1:5">
      <c r="A76" s="14" t="str">
        <f>"5049001093SAM"</f>
        <v>5049001093SAM</v>
      </c>
      <c r="B76" s="14" t="str">
        <f t="shared" si="4"/>
        <v>Cable Shifter</v>
      </c>
      <c r="C76" s="15">
        <v>1</v>
      </c>
      <c r="D76" s="15" t="str">
        <f t="shared" si="3"/>
        <v>ea</v>
      </c>
      <c r="E76" s="13">
        <v>250</v>
      </c>
    </row>
    <row r="77" spans="1:5">
      <c r="A77" s="14" t="str">
        <f>"5049001095SAM"</f>
        <v>5049001095SAM</v>
      </c>
      <c r="B77" s="14" t="str">
        <f t="shared" si="4"/>
        <v>Cable Shifter</v>
      </c>
      <c r="C77" s="15">
        <v>1</v>
      </c>
      <c r="D77" s="15" t="str">
        <f t="shared" si="3"/>
        <v>ea</v>
      </c>
      <c r="E77" s="13">
        <v>251</v>
      </c>
    </row>
    <row r="78" spans="1:5">
      <c r="A78" s="14" t="str">
        <f>"5049001097SAM"</f>
        <v>5049001097SAM</v>
      </c>
      <c r="B78" s="14" t="str">
        <f t="shared" si="4"/>
        <v>Cable Shifter</v>
      </c>
      <c r="C78" s="15">
        <v>1</v>
      </c>
      <c r="D78" s="15" t="str">
        <f t="shared" si="3"/>
        <v>ea</v>
      </c>
      <c r="E78" s="13">
        <v>208</v>
      </c>
    </row>
    <row r="79" spans="1:5">
      <c r="A79" s="16" t="str">
        <f>"622095AM"</f>
        <v>622095AM</v>
      </c>
      <c r="B79" s="16" t="str">
        <f>"Repair Kit (Servo 1655435)"</f>
        <v>Repair Kit (Servo 1655435)</v>
      </c>
      <c r="C79" s="17">
        <v>1</v>
      </c>
      <c r="D79" s="17" t="str">
        <f t="shared" si="3"/>
        <v>ea</v>
      </c>
      <c r="E79" s="13">
        <v>92</v>
      </c>
    </row>
    <row r="80" spans="1:5">
      <c r="A80" s="18" t="str">
        <f>"622107AM"</f>
        <v>622107AM</v>
      </c>
      <c r="B80" s="18" t="str">
        <f>"Clutch Servo 100 mm"</f>
        <v>Clutch Servo 100 mm</v>
      </c>
      <c r="C80" s="19">
        <v>1</v>
      </c>
      <c r="D80" s="19" t="str">
        <f t="shared" si="3"/>
        <v>ea</v>
      </c>
      <c r="E80" s="13">
        <v>400</v>
      </c>
    </row>
    <row r="81" spans="1:5">
      <c r="A81" s="14" t="str">
        <f>"622109AM"</f>
        <v>622109AM</v>
      </c>
      <c r="B81" s="14" t="str">
        <f>"Clutch Servo"</f>
        <v>Clutch Servo</v>
      </c>
      <c r="C81" s="15">
        <v>1</v>
      </c>
      <c r="D81" s="15" t="str">
        <f t="shared" si="3"/>
        <v>ea</v>
      </c>
      <c r="E81" s="13">
        <v>428</v>
      </c>
    </row>
    <row r="82" spans="1:5">
      <c r="A82" s="14" t="str">
        <f>"622135AM"</f>
        <v>622135AM</v>
      </c>
      <c r="B82" s="14" t="str">
        <f>"Repair Kit Servo  95 mm"</f>
        <v>Repair Kit Servo  95 mm</v>
      </c>
      <c r="C82" s="15">
        <v>1</v>
      </c>
      <c r="D82" s="15" t="str">
        <f t="shared" si="3"/>
        <v>ea</v>
      </c>
      <c r="E82" s="13">
        <v>62.5</v>
      </c>
    </row>
    <row r="83" spans="1:5">
      <c r="A83" s="14" t="str">
        <f>"622158AM"</f>
        <v>622158AM</v>
      </c>
      <c r="B83" s="14" t="str">
        <f>"Repair Kit Servo 100 mm"</f>
        <v>Repair Kit Servo 100 mm</v>
      </c>
      <c r="C83" s="15">
        <v>1</v>
      </c>
      <c r="D83" s="15" t="str">
        <f t="shared" si="3"/>
        <v>ea</v>
      </c>
      <c r="E83" s="13">
        <v>86</v>
      </c>
    </row>
    <row r="84" spans="1:5">
      <c r="A84" s="14" t="str">
        <f>"622161AM"</f>
        <v>622161AM</v>
      </c>
      <c r="B84" s="14" t="str">
        <f>"Repair Kit Servo 95 mm"</f>
        <v>Repair Kit Servo 95 mm</v>
      </c>
      <c r="C84" s="15">
        <v>1</v>
      </c>
      <c r="D84" s="15" t="str">
        <f t="shared" si="3"/>
        <v>ea</v>
      </c>
      <c r="E84" s="13">
        <v>25.6</v>
      </c>
    </row>
    <row r="85" spans="1:5">
      <c r="A85" s="14" t="str">
        <f>"622190AM"</f>
        <v>622190AM</v>
      </c>
      <c r="B85" s="14" t="str">
        <f>"Clutch Servo 100 mm"</f>
        <v>Clutch Servo 100 mm</v>
      </c>
      <c r="C85" s="15">
        <v>1</v>
      </c>
      <c r="D85" s="15" t="str">
        <f t="shared" si="3"/>
        <v>ea</v>
      </c>
      <c r="E85" s="13">
        <v>384.4</v>
      </c>
    </row>
    <row r="86" spans="1:5">
      <c r="A86" s="14" t="str">
        <f>"622195AM"</f>
        <v>622195AM</v>
      </c>
      <c r="B86" s="14" t="str">
        <f>"Repair Kit (Old version)"</f>
        <v>Repair Kit (Old version)</v>
      </c>
      <c r="C86" s="15">
        <v>1</v>
      </c>
      <c r="D86" s="15" t="str">
        <f t="shared" si="3"/>
        <v>ea</v>
      </c>
      <c r="E86" s="13">
        <v>70.400000000000006</v>
      </c>
    </row>
    <row r="87" spans="1:5">
      <c r="A87" s="16" t="str">
        <f>"622199AM"</f>
        <v>622199AM</v>
      </c>
      <c r="B87" s="16" t="str">
        <f>"Clutch Servo 100 mm"</f>
        <v>Clutch Servo 100 mm</v>
      </c>
      <c r="C87" s="17">
        <v>1</v>
      </c>
      <c r="D87" s="17" t="str">
        <f t="shared" si="3"/>
        <v>ea</v>
      </c>
      <c r="E87" s="13">
        <v>363</v>
      </c>
    </row>
    <row r="88" spans="1:5">
      <c r="A88" s="14" t="str">
        <f>"622502AM"</f>
        <v>622502AM</v>
      </c>
      <c r="B88" s="14" t="str">
        <f>"Clutch Servo 80 mm"</f>
        <v>Clutch Servo 80 mm</v>
      </c>
      <c r="C88" s="15">
        <v>1</v>
      </c>
      <c r="D88" s="15" t="str">
        <f t="shared" si="3"/>
        <v>ea</v>
      </c>
      <c r="E88" s="13">
        <v>407</v>
      </c>
    </row>
    <row r="89" spans="1:5">
      <c r="A89" s="14" t="str">
        <f>"623104AM"</f>
        <v>623104AM</v>
      </c>
      <c r="B89" s="14" t="str">
        <f>"Master Cylinder 26 mm"</f>
        <v>Master Cylinder 26 mm</v>
      </c>
      <c r="C89" s="15">
        <v>1</v>
      </c>
      <c r="D89" s="15" t="str">
        <f t="shared" si="3"/>
        <v>ea</v>
      </c>
      <c r="E89" s="13">
        <v>85.8</v>
      </c>
    </row>
    <row r="90" spans="1:5">
      <c r="A90" s="14" t="str">
        <f>"623105AM"</f>
        <v>623105AM</v>
      </c>
      <c r="B90" s="14" t="str">
        <f>"Master Cylinder 28 mm"</f>
        <v>Master Cylinder 28 mm</v>
      </c>
      <c r="C90" s="15">
        <v>1</v>
      </c>
      <c r="D90" s="15" t="str">
        <f t="shared" si="3"/>
        <v>ea</v>
      </c>
      <c r="E90" s="13">
        <v>113.8</v>
      </c>
    </row>
    <row r="91" spans="1:5">
      <c r="A91" s="14" t="str">
        <f>"623106AM"</f>
        <v>623106AM</v>
      </c>
      <c r="B91" s="14" t="str">
        <f>"Master Cylinder 26 mm"</f>
        <v>Master Cylinder 26 mm</v>
      </c>
      <c r="C91" s="15">
        <v>1</v>
      </c>
      <c r="D91" s="15" t="str">
        <f t="shared" si="3"/>
        <v>ea</v>
      </c>
      <c r="E91" s="13">
        <v>103.4</v>
      </c>
    </row>
    <row r="92" spans="1:5">
      <c r="A92" s="16" t="str">
        <f>"623109AM"</f>
        <v>623109AM</v>
      </c>
      <c r="B92" s="16" t="str">
        <f>"Master Cylinder 26 mm"</f>
        <v>Master Cylinder 26 mm</v>
      </c>
      <c r="C92" s="17">
        <v>1</v>
      </c>
      <c r="D92" s="17" t="str">
        <f t="shared" si="3"/>
        <v>ea</v>
      </c>
      <c r="E92" s="13">
        <v>126</v>
      </c>
    </row>
    <row r="93" spans="1:5">
      <c r="A93" s="16" t="str">
        <f>"623157AM"</f>
        <v>623157AM</v>
      </c>
      <c r="B93" s="16" t="str">
        <f>"Repair Kit (Master Cyl.)"</f>
        <v>Repair Kit (Master Cyl.)</v>
      </c>
      <c r="C93" s="17">
        <v>1</v>
      </c>
      <c r="D93" s="17" t="str">
        <f t="shared" si="3"/>
        <v>ea</v>
      </c>
      <c r="E93" s="13">
        <v>63</v>
      </c>
    </row>
    <row r="94" spans="1:5">
      <c r="A94" s="14" t="str">
        <f>"623160AM"</f>
        <v>623160AM</v>
      </c>
      <c r="B94" s="14" t="str">
        <f>"Master Cylinder 24 mm"</f>
        <v>Master Cylinder 24 mm</v>
      </c>
      <c r="C94" s="15">
        <v>1</v>
      </c>
      <c r="D94" s="15" t="str">
        <f t="shared" si="3"/>
        <v>ea</v>
      </c>
      <c r="E94" s="13">
        <v>121</v>
      </c>
    </row>
    <row r="95" spans="1:5">
      <c r="A95" s="14" t="str">
        <f>"624199AM"</f>
        <v>624199AM</v>
      </c>
      <c r="B95" s="14" t="str">
        <f>"Clutch Servo 100 mm"</f>
        <v>Clutch Servo 100 mm</v>
      </c>
      <c r="C95" s="15">
        <v>1</v>
      </c>
      <c r="D95" s="15" t="str">
        <f t="shared" si="3"/>
        <v>ea</v>
      </c>
      <c r="E95" s="13">
        <v>629</v>
      </c>
    </row>
    <row r="96" spans="1:5">
      <c r="A96" s="14" t="str">
        <f>"624248AM"</f>
        <v>624248AM</v>
      </c>
      <c r="B96" s="14" t="str">
        <f>"Master Cylinder 28 mm"</f>
        <v>Master Cylinder 28 mm</v>
      </c>
      <c r="C96" s="15">
        <v>1</v>
      </c>
      <c r="D96" s="15" t="str">
        <f t="shared" si="3"/>
        <v>ea</v>
      </c>
      <c r="E96" s="13">
        <v>114.4</v>
      </c>
    </row>
    <row r="97" spans="1:5">
      <c r="A97" s="14" t="str">
        <f>"624502AM"</f>
        <v>624502AM</v>
      </c>
      <c r="B97" s="14" t="str">
        <f>"Master Cylinder 26 mm"</f>
        <v>Master Cylinder 26 mm</v>
      </c>
      <c r="C97" s="15">
        <v>1</v>
      </c>
      <c r="D97" s="15" t="str">
        <f t="shared" si="3"/>
        <v>ea</v>
      </c>
      <c r="E97" s="13">
        <v>152.5</v>
      </c>
    </row>
    <row r="98" spans="1:5">
      <c r="A98" s="16" t="str">
        <f>"624503AM"</f>
        <v>624503AM</v>
      </c>
      <c r="B98" s="16" t="str">
        <f>"Master Cylinder 26 mm"</f>
        <v>Master Cylinder 26 mm</v>
      </c>
      <c r="C98" s="17">
        <v>1</v>
      </c>
      <c r="D98" s="20" t="str">
        <f t="shared" si="3"/>
        <v>ea</v>
      </c>
      <c r="E98" s="13">
        <v>120</v>
      </c>
    </row>
    <row r="99" spans="1:5">
      <c r="A99" s="16" t="str">
        <f>"624504AM"</f>
        <v>624504AM</v>
      </c>
      <c r="B99" s="16" t="str">
        <f>"Push Rod (Long)"</f>
        <v>Push Rod (Long)</v>
      </c>
      <c r="C99" s="17">
        <v>1</v>
      </c>
      <c r="D99" s="17" t="str">
        <f t="shared" si="3"/>
        <v>ea</v>
      </c>
      <c r="E99" s="13">
        <v>37.1</v>
      </c>
    </row>
    <row r="100" spans="1:5">
      <c r="A100" s="16" t="str">
        <f>"625164AM"</f>
        <v>625164AM</v>
      </c>
      <c r="B100" s="16" t="str">
        <f>"Repair Kit (Master Cyl.)"</f>
        <v>Repair Kit (Master Cyl.)</v>
      </c>
      <c r="C100" s="17">
        <v>1</v>
      </c>
      <c r="D100" s="17" t="str">
        <f t="shared" si="3"/>
        <v>ea</v>
      </c>
      <c r="E100" s="13">
        <v>71.5</v>
      </c>
    </row>
    <row r="101" spans="1:5">
      <c r="A101" s="16" t="str">
        <f>"625218AM"</f>
        <v>625218AM</v>
      </c>
      <c r="B101" s="16" t="str">
        <f>"Repair Kit (Servo Main kit)"</f>
        <v>Repair Kit (Servo Main kit)</v>
      </c>
      <c r="C101" s="17">
        <v>1</v>
      </c>
      <c r="D101" s="17" t="str">
        <f t="shared" si="3"/>
        <v>ea</v>
      </c>
      <c r="E101" s="13">
        <v>79.5</v>
      </c>
    </row>
    <row r="102" spans="1:5">
      <c r="A102" s="16" t="str">
        <f>"625219AM"</f>
        <v>625219AM</v>
      </c>
      <c r="B102" s="16" t="str">
        <f>"Repair Kit (Servo Main kit)"</f>
        <v>Repair Kit (Servo Main kit)</v>
      </c>
      <c r="C102" s="17">
        <v>1</v>
      </c>
      <c r="D102" s="17" t="str">
        <f t="shared" si="3"/>
        <v>ea</v>
      </c>
      <c r="E102" s="13">
        <v>79.5</v>
      </c>
    </row>
    <row r="103" spans="1:5">
      <c r="A103" s="16" t="str">
        <f>"625282AM"</f>
        <v>625282AM</v>
      </c>
      <c r="B103" s="16" t="str">
        <f>"Repair Kit"</f>
        <v>Repair Kit</v>
      </c>
      <c r="C103" s="17">
        <v>1</v>
      </c>
      <c r="D103" s="17" t="str">
        <f t="shared" si="3"/>
        <v>ea</v>
      </c>
      <c r="E103" s="13">
        <v>118</v>
      </c>
    </row>
    <row r="104" spans="1:5">
      <c r="A104" s="14" t="str">
        <f>"625285AM"</f>
        <v>625285AM</v>
      </c>
      <c r="B104" s="14" t="str">
        <f>"Repair Kit (Spool Assy.)"</f>
        <v>Repair Kit (Spool Assy.)</v>
      </c>
      <c r="C104" s="15">
        <v>1</v>
      </c>
      <c r="D104" s="15" t="str">
        <f t="shared" si="3"/>
        <v>ea</v>
      </c>
      <c r="E104" s="13">
        <v>42.7</v>
      </c>
    </row>
    <row r="105" spans="1:5">
      <c r="A105" s="16" t="str">
        <f>"625375AM"</f>
        <v>625375AM</v>
      </c>
      <c r="B105" s="16" t="str">
        <f>"Clutch Servo 100 mm"</f>
        <v>Clutch Servo 100 mm</v>
      </c>
      <c r="C105" s="17">
        <v>1</v>
      </c>
      <c r="D105" s="17" t="str">
        <f t="shared" si="3"/>
        <v>ea</v>
      </c>
      <c r="E105" s="13">
        <v>393</v>
      </c>
    </row>
    <row r="106" spans="1:5">
      <c r="A106" s="14" t="str">
        <f>"625384AM"</f>
        <v>625384AM</v>
      </c>
      <c r="B106" s="14" t="str">
        <f>"Clutch Servo 80 mm"</f>
        <v>Clutch Servo 80 mm</v>
      </c>
      <c r="C106" s="15">
        <v>1</v>
      </c>
      <c r="D106" s="15" t="str">
        <f t="shared" si="3"/>
        <v>ea</v>
      </c>
      <c r="E106" s="13">
        <v>428</v>
      </c>
    </row>
    <row r="107" spans="1:5">
      <c r="A107" s="14" t="str">
        <f>"625445AM"</f>
        <v>625445AM</v>
      </c>
      <c r="B107" s="14" t="str">
        <f>"Push Rod (Master Cyl.)"</f>
        <v>Push Rod (Master Cyl.)</v>
      </c>
      <c r="C107" s="15">
        <v>1</v>
      </c>
      <c r="D107" s="15" t="str">
        <f t="shared" si="3"/>
        <v>ea</v>
      </c>
      <c r="E107" s="13">
        <v>31.7</v>
      </c>
    </row>
    <row r="108" spans="1:5">
      <c r="A108" s="14" t="str">
        <f>"625522AM"</f>
        <v>625522AM</v>
      </c>
      <c r="B108" s="14" t="str">
        <f>"HGS GBA  VOLVO"</f>
        <v>HGS GBA  VOLVO</v>
      </c>
      <c r="C108" s="15">
        <v>1</v>
      </c>
      <c r="D108" s="15" t="str">
        <f t="shared" si="3"/>
        <v>ea</v>
      </c>
      <c r="E108" s="13">
        <v>1107</v>
      </c>
    </row>
    <row r="109" spans="1:5">
      <c r="A109" s="14" t="str">
        <f>"625524AM"</f>
        <v>625524AM</v>
      </c>
      <c r="B109" s="14" t="str">
        <f>"Clutch Servo 100 mm"</f>
        <v>Clutch Servo 100 mm</v>
      </c>
      <c r="C109" s="15">
        <v>1</v>
      </c>
      <c r="D109" s="15" t="str">
        <f t="shared" si="3"/>
        <v>ea</v>
      </c>
      <c r="E109" s="13">
        <v>415.6</v>
      </c>
    </row>
    <row r="110" spans="1:5">
      <c r="A110" s="14" t="str">
        <f>"625536AM"</f>
        <v>625536AM</v>
      </c>
      <c r="B110" s="14" t="str">
        <f>"Master Cylinder"</f>
        <v>Master Cylinder</v>
      </c>
      <c r="C110" s="15">
        <v>1</v>
      </c>
      <c r="D110" s="15" t="str">
        <f t="shared" si="3"/>
        <v>ea</v>
      </c>
      <c r="E110" s="13">
        <v>178</v>
      </c>
    </row>
    <row r="111" spans="1:5">
      <c r="A111" s="14" t="str">
        <f>"625542AM"</f>
        <v>625542AM</v>
      </c>
      <c r="B111" s="14" t="str">
        <f>"Shift leaver-Gearbox actuator"</f>
        <v>Shift leaver-Gearbox actuator</v>
      </c>
      <c r="C111" s="15">
        <v>1</v>
      </c>
      <c r="D111" s="15" t="str">
        <f t="shared" si="3"/>
        <v>ea</v>
      </c>
      <c r="E111" s="13">
        <v>696</v>
      </c>
    </row>
    <row r="112" spans="1:5">
      <c r="A112" s="14" t="str">
        <f>"625559AM"</f>
        <v>625559AM</v>
      </c>
      <c r="B112" s="14" t="str">
        <f>"Clutch Servo 100 mm"</f>
        <v>Clutch Servo 100 mm</v>
      </c>
      <c r="C112" s="15">
        <v>1</v>
      </c>
      <c r="D112" s="15" t="str">
        <f t="shared" si="3"/>
        <v>ea</v>
      </c>
      <c r="E112" s="13">
        <v>647.5</v>
      </c>
    </row>
    <row r="113" spans="1:5">
      <c r="A113" s="14" t="str">
        <f>"625760AM"</f>
        <v>625760AM</v>
      </c>
      <c r="B113" s="14" t="str">
        <f>"Gear selector-Gearbox actuator"</f>
        <v>Gear selector-Gearbox actuator</v>
      </c>
      <c r="C113" s="15">
        <v>1</v>
      </c>
      <c r="D113" s="15" t="str">
        <f t="shared" si="3"/>
        <v>ea</v>
      </c>
      <c r="E113" s="13">
        <v>937.5</v>
      </c>
    </row>
    <row r="114" spans="1:5">
      <c r="A114" s="14" t="str">
        <f>"625826AM"</f>
        <v>625826AM</v>
      </c>
      <c r="B114" s="14" t="str">
        <f>"Master Cylinder 26 mm"</f>
        <v>Master Cylinder 26 mm</v>
      </c>
      <c r="C114" s="15">
        <v>1</v>
      </c>
      <c r="D114" s="15" t="str">
        <f t="shared" si="3"/>
        <v>ea</v>
      </c>
      <c r="E114" s="13">
        <v>120.4</v>
      </c>
    </row>
    <row r="115" spans="1:5">
      <c r="A115" s="14" t="str">
        <f>"625942AM"</f>
        <v>625942AM</v>
      </c>
      <c r="B115" s="14" t="str">
        <f>"Select Gear Box Actuator"</f>
        <v>Select Gear Box Actuator</v>
      </c>
      <c r="C115" s="15">
        <v>1</v>
      </c>
      <c r="D115" s="15" t="str">
        <f t="shared" si="3"/>
        <v>ea</v>
      </c>
      <c r="E115" s="13">
        <v>448.4</v>
      </c>
    </row>
    <row r="116" spans="1:5">
      <c r="A116" s="14" t="str">
        <f>"625944AM"</f>
        <v>625944AM</v>
      </c>
      <c r="B116" s="14" t="str">
        <f>"Shift Gear Box Actuator"</f>
        <v>Shift Gear Box Actuator</v>
      </c>
      <c r="C116" s="15">
        <v>1</v>
      </c>
      <c r="D116" s="15" t="str">
        <f t="shared" si="3"/>
        <v>ea</v>
      </c>
      <c r="E116" s="13">
        <v>437.8</v>
      </c>
    </row>
    <row r="117" spans="1:5">
      <c r="A117" s="16" t="str">
        <f>"625960AM"</f>
        <v>625960AM</v>
      </c>
      <c r="B117" s="16" t="str">
        <f>"Repair Kit (Servo Main kit)"</f>
        <v>Repair Kit (Servo Main kit)</v>
      </c>
      <c r="C117" s="17">
        <v>1</v>
      </c>
      <c r="D117" s="17" t="str">
        <f t="shared" si="3"/>
        <v>ea</v>
      </c>
      <c r="E117" s="13">
        <v>107</v>
      </c>
    </row>
    <row r="118" spans="1:5">
      <c r="A118" s="16" t="str">
        <f>"625976AM"</f>
        <v>625976AM</v>
      </c>
      <c r="B118" s="16" t="str">
        <f>"Repair Kit (Master Cyl.)"</f>
        <v>Repair Kit (Master Cyl.)</v>
      </c>
      <c r="C118" s="17">
        <v>1</v>
      </c>
      <c r="D118" s="17" t="str">
        <f t="shared" si="3"/>
        <v>ea</v>
      </c>
      <c r="E118" s="13">
        <v>76.5</v>
      </c>
    </row>
    <row r="119" spans="1:5">
      <c r="A119" s="14" t="str">
        <f>"625977AM"</f>
        <v>625977AM</v>
      </c>
      <c r="B119" s="14" t="str">
        <f>"Repair Kit (Master Cyl.)"</f>
        <v>Repair Kit (Master Cyl.)</v>
      </c>
      <c r="C119" s="15">
        <v>1</v>
      </c>
      <c r="D119" s="15" t="str">
        <f t="shared" si="3"/>
        <v>ea</v>
      </c>
      <c r="E119" s="13">
        <v>55</v>
      </c>
    </row>
    <row r="120" spans="1:5">
      <c r="A120" s="16" t="str">
        <f>"626062AM"</f>
        <v>626062AM</v>
      </c>
      <c r="B120" s="16" t="str">
        <f>"Repair Kit (Servo Main kit)"</f>
        <v>Repair Kit (Servo Main kit)</v>
      </c>
      <c r="C120" s="17">
        <v>1</v>
      </c>
      <c r="D120" s="17" t="str">
        <f t="shared" si="3"/>
        <v>ea</v>
      </c>
      <c r="E120" s="13">
        <v>134</v>
      </c>
    </row>
    <row r="121" spans="1:5">
      <c r="A121" s="14" t="str">
        <f>"626077AM"</f>
        <v>626077AM</v>
      </c>
      <c r="B121" s="14" t="str">
        <f>"Reservoir"</f>
        <v>Reservoir</v>
      </c>
      <c r="C121" s="15">
        <v>1</v>
      </c>
      <c r="D121" s="15" t="str">
        <f t="shared" si="3"/>
        <v>ea</v>
      </c>
      <c r="E121" s="13">
        <v>80</v>
      </c>
    </row>
    <row r="122" spans="1:5">
      <c r="A122" s="14" t="str">
        <f>"626105AM"</f>
        <v>626105AM</v>
      </c>
      <c r="B122" s="14" t="str">
        <f>"Clevis"</f>
        <v>Clevis</v>
      </c>
      <c r="C122" s="15">
        <v>1</v>
      </c>
      <c r="D122" s="15" t="str">
        <f t="shared" si="3"/>
        <v>ea</v>
      </c>
      <c r="E122" s="13">
        <v>63.8</v>
      </c>
    </row>
    <row r="123" spans="1:5">
      <c r="A123" s="14" t="str">
        <f>"626156AM"</f>
        <v>626156AM</v>
      </c>
      <c r="B123" s="14" t="str">
        <f>"Select Gear Box Actuator"</f>
        <v>Select Gear Box Actuator</v>
      </c>
      <c r="C123" s="15">
        <v>1</v>
      </c>
      <c r="D123" s="15" t="str">
        <f t="shared" si="3"/>
        <v>ea</v>
      </c>
      <c r="E123" s="13">
        <v>215.6</v>
      </c>
    </row>
    <row r="124" spans="1:5">
      <c r="A124" s="14" t="str">
        <f>"626159AM"</f>
        <v>626159AM</v>
      </c>
      <c r="B124" s="14" t="str">
        <f>"Master Cylinder 28 mm"</f>
        <v>Master Cylinder 28 mm</v>
      </c>
      <c r="C124" s="15">
        <v>1</v>
      </c>
      <c r="D124" s="15" t="str">
        <f t="shared" si="3"/>
        <v>ea</v>
      </c>
      <c r="E124" s="13">
        <v>107.8</v>
      </c>
    </row>
    <row r="125" spans="1:5">
      <c r="A125" s="14" t="str">
        <f>"626162AM"</f>
        <v>626162AM</v>
      </c>
      <c r="B125" s="14" t="str">
        <f>"Clutch Servo 100 mm"</f>
        <v>Clutch Servo 100 mm</v>
      </c>
      <c r="C125" s="15">
        <v>1</v>
      </c>
      <c r="D125" s="15" t="str">
        <f t="shared" si="3"/>
        <v>ea</v>
      </c>
      <c r="E125" s="13">
        <v>448.8</v>
      </c>
    </row>
    <row r="126" spans="1:5">
      <c r="A126" s="14" t="str">
        <f>"626163AM"</f>
        <v>626163AM</v>
      </c>
      <c r="B126" s="14" t="str">
        <f>"Repair Kit (Master Cyl.)"</f>
        <v>Repair Kit (Master Cyl.)</v>
      </c>
      <c r="C126" s="15">
        <v>1</v>
      </c>
      <c r="D126" s="15" t="str">
        <f t="shared" si="3"/>
        <v>ea</v>
      </c>
      <c r="E126" s="13">
        <v>61.6</v>
      </c>
    </row>
    <row r="127" spans="1:5">
      <c r="A127" s="14" t="str">
        <f>"626165AM"</f>
        <v>626165AM</v>
      </c>
      <c r="B127" s="14" t="str">
        <f>"Repair Kit (Master Cyl.)"</f>
        <v>Repair Kit (Master Cyl.)</v>
      </c>
      <c r="C127" s="15">
        <v>1</v>
      </c>
      <c r="D127" s="15" t="str">
        <f t="shared" si="3"/>
        <v>ea</v>
      </c>
      <c r="E127" s="13">
        <v>53.5</v>
      </c>
    </row>
    <row r="128" spans="1:5">
      <c r="A128" s="14" t="str">
        <f>"626166AM"</f>
        <v>626166AM</v>
      </c>
      <c r="B128" s="14" t="str">
        <f>"Repair Kit (Master Cyl.)"</f>
        <v>Repair Kit (Master Cyl.)</v>
      </c>
      <c r="C128" s="15">
        <v>1</v>
      </c>
      <c r="D128" s="15" t="str">
        <f t="shared" si="3"/>
        <v>ea</v>
      </c>
      <c r="E128" s="13">
        <v>53.5</v>
      </c>
    </row>
    <row r="129" spans="1:5">
      <c r="A129" s="14" t="str">
        <f>"626196AM"</f>
        <v>626196AM</v>
      </c>
      <c r="B129" s="14" t="str">
        <f>"Master cylinder"</f>
        <v>Master cylinder</v>
      </c>
      <c r="C129" s="15">
        <v>1</v>
      </c>
      <c r="D129" s="15" t="str">
        <f t="shared" si="3"/>
        <v>ea</v>
      </c>
      <c r="E129" s="13">
        <v>121</v>
      </c>
    </row>
    <row r="130" spans="1:5">
      <c r="A130" s="14" t="str">
        <f>"626243AM"</f>
        <v>626243AM</v>
      </c>
      <c r="B130" s="14" t="str">
        <f>"Repair Kit (Master Cyl.)"</f>
        <v>Repair Kit (Master Cyl.)</v>
      </c>
      <c r="C130" s="15">
        <v>1</v>
      </c>
      <c r="D130" s="15" t="str">
        <f t="shared" si="3"/>
        <v>ea</v>
      </c>
      <c r="E130" s="13">
        <v>48.4</v>
      </c>
    </row>
    <row r="131" spans="1:5">
      <c r="A131" s="14" t="str">
        <f>"626260AM"</f>
        <v>626260AM</v>
      </c>
      <c r="B131" s="14" t="str">
        <f>"Gear Lever Actuator LH"</f>
        <v>Gear Lever Actuator LH</v>
      </c>
      <c r="C131" s="15">
        <v>1</v>
      </c>
      <c r="D131" s="15" t="str">
        <f t="shared" si="3"/>
        <v>ea</v>
      </c>
      <c r="E131" s="13">
        <v>1691</v>
      </c>
    </row>
    <row r="132" spans="1:5">
      <c r="A132" s="14" t="str">
        <f>"626261AM"</f>
        <v>626261AM</v>
      </c>
      <c r="B132" s="14" t="str">
        <f>"Gear Lever Actuator RH"</f>
        <v>Gear Lever Actuator RH</v>
      </c>
      <c r="C132" s="15">
        <v>1</v>
      </c>
      <c r="D132" s="15" t="str">
        <f t="shared" si="3"/>
        <v>ea</v>
      </c>
      <c r="E132" s="13">
        <v>1757.6</v>
      </c>
    </row>
    <row r="133" spans="1:5">
      <c r="A133" s="16" t="str">
        <f>"626321AM"</f>
        <v>626321AM</v>
      </c>
      <c r="B133" s="16" t="str">
        <f>"Gear Lever Actuator"</f>
        <v>Gear Lever Actuator</v>
      </c>
      <c r="C133" s="17">
        <v>1</v>
      </c>
      <c r="D133" s="15" t="str">
        <f t="shared" ref="D133:D196" si="5">"ea"</f>
        <v>ea</v>
      </c>
      <c r="E133" s="13">
        <v>865</v>
      </c>
    </row>
    <row r="134" spans="1:5">
      <c r="A134" s="16" t="str">
        <f>"626392AM"</f>
        <v>626392AM</v>
      </c>
      <c r="B134" s="16" t="str">
        <f>"Clutch Servo 80 mm"</f>
        <v>Clutch Servo 80 mm</v>
      </c>
      <c r="C134" s="17">
        <v>1</v>
      </c>
      <c r="D134" s="17" t="str">
        <f t="shared" si="5"/>
        <v>ea</v>
      </c>
      <c r="E134" s="13">
        <v>379</v>
      </c>
    </row>
    <row r="135" spans="1:5">
      <c r="A135" s="14" t="str">
        <f>"626446AM"</f>
        <v>626446AM</v>
      </c>
      <c r="B135" s="14" t="str">
        <f>"Gear Lever Actuator"</f>
        <v>Gear Lever Actuator</v>
      </c>
      <c r="C135" s="15">
        <v>1</v>
      </c>
      <c r="D135" s="15" t="str">
        <f t="shared" si="5"/>
        <v>ea</v>
      </c>
      <c r="E135" s="13">
        <v>1239</v>
      </c>
    </row>
    <row r="136" spans="1:5">
      <c r="A136" s="14" t="str">
        <f>"626447AM"</f>
        <v>626447AM</v>
      </c>
      <c r="B136" s="14" t="str">
        <f>"Shift Cylinder"</f>
        <v>Shift Cylinder</v>
      </c>
      <c r="C136" s="15">
        <v>1</v>
      </c>
      <c r="D136" s="15" t="str">
        <f t="shared" si="5"/>
        <v>ea</v>
      </c>
      <c r="E136" s="13">
        <v>616</v>
      </c>
    </row>
    <row r="137" spans="1:5">
      <c r="A137" s="14" t="str">
        <f>"626448AM"</f>
        <v>626448AM</v>
      </c>
      <c r="B137" s="14" t="str">
        <f>"Select Gear Box Actuator"</f>
        <v>Select Gear Box Actuator</v>
      </c>
      <c r="C137" s="15">
        <v>1</v>
      </c>
      <c r="D137" s="15" t="str">
        <f t="shared" si="5"/>
        <v>ea</v>
      </c>
      <c r="E137" s="13">
        <v>616</v>
      </c>
    </row>
    <row r="138" spans="1:5">
      <c r="A138" s="14" t="str">
        <f>"626453AM"</f>
        <v>626453AM</v>
      </c>
      <c r="B138" s="14" t="str">
        <f>"HGS GLA VOLVO"</f>
        <v>HGS GLA VOLVO</v>
      </c>
      <c r="C138" s="15">
        <v>1</v>
      </c>
      <c r="D138" s="15" t="str">
        <f t="shared" si="5"/>
        <v>ea</v>
      </c>
      <c r="E138" s="13">
        <v>2504</v>
      </c>
    </row>
    <row r="139" spans="1:5">
      <c r="A139" s="14" t="str">
        <f>"626564AM"</f>
        <v>626564AM</v>
      </c>
      <c r="B139" s="14" t="str">
        <f>"Master Cylinder 26 mm"</f>
        <v>Master Cylinder 26 mm</v>
      </c>
      <c r="C139" s="15">
        <v>1</v>
      </c>
      <c r="D139" s="15" t="str">
        <f t="shared" si="5"/>
        <v>ea</v>
      </c>
      <c r="E139" s="13">
        <v>121</v>
      </c>
    </row>
    <row r="140" spans="1:5">
      <c r="A140" s="14" t="str">
        <f>"626565AM"</f>
        <v>626565AM</v>
      </c>
      <c r="B140" s="14" t="str">
        <f>"Master Cylinder 26 mm"</f>
        <v>Master Cylinder 26 mm</v>
      </c>
      <c r="C140" s="15">
        <v>1</v>
      </c>
      <c r="D140" s="15" t="str">
        <f t="shared" si="5"/>
        <v>ea</v>
      </c>
      <c r="E140" s="13">
        <v>120</v>
      </c>
    </row>
    <row r="141" spans="1:5">
      <c r="A141" s="14" t="str">
        <f>"626597AM"</f>
        <v>626597AM</v>
      </c>
      <c r="B141" s="14" t="str">
        <f>"Shift Gear Box Actuator"</f>
        <v>Shift Gear Box Actuator</v>
      </c>
      <c r="C141" s="15">
        <v>1</v>
      </c>
      <c r="D141" s="15" t="str">
        <f t="shared" si="5"/>
        <v>ea</v>
      </c>
      <c r="E141" s="13">
        <v>351.6</v>
      </c>
    </row>
    <row r="142" spans="1:5">
      <c r="A142" s="14" t="str">
        <f>"626608AM"</f>
        <v>626608AM</v>
      </c>
      <c r="B142" s="14" t="str">
        <f>"Repair Kit (Master Cyl.)"</f>
        <v>Repair Kit (Master Cyl.)</v>
      </c>
      <c r="C142" s="15">
        <v>1</v>
      </c>
      <c r="D142" s="15" t="str">
        <f t="shared" si="5"/>
        <v>ea</v>
      </c>
      <c r="E142" s="13">
        <v>48.7</v>
      </c>
    </row>
    <row r="143" spans="1:5">
      <c r="A143" s="16" t="str">
        <f>"626639AM"</f>
        <v>626639AM</v>
      </c>
      <c r="B143" s="16" t="str">
        <f>"Clutch Servo 95 mm"</f>
        <v>Clutch Servo 95 mm</v>
      </c>
      <c r="C143" s="17">
        <v>1</v>
      </c>
      <c r="D143" s="17" t="str">
        <f t="shared" si="5"/>
        <v>ea</v>
      </c>
      <c r="E143" s="13">
        <v>379</v>
      </c>
    </row>
    <row r="144" spans="1:5">
      <c r="A144" s="16" t="str">
        <f>"626661AM"</f>
        <v>626661AM</v>
      </c>
      <c r="B144" s="16" t="str">
        <f>"Gear Lever Actuator"</f>
        <v>Gear Lever Actuator</v>
      </c>
      <c r="C144" s="17">
        <v>1</v>
      </c>
      <c r="D144" s="17" t="str">
        <f t="shared" si="5"/>
        <v>ea</v>
      </c>
      <c r="E144" s="13">
        <v>1015</v>
      </c>
    </row>
    <row r="145" spans="1:5">
      <c r="A145" s="16" t="str">
        <f>"626662AM"</f>
        <v>626662AM</v>
      </c>
      <c r="B145" s="16" t="str">
        <f>"Gear Lever Actuator"</f>
        <v>Gear Lever Actuator</v>
      </c>
      <c r="C145" s="17">
        <v>1</v>
      </c>
      <c r="D145" s="17" t="str">
        <f t="shared" si="5"/>
        <v>ea</v>
      </c>
      <c r="E145" s="13">
        <v>1015</v>
      </c>
    </row>
    <row r="146" spans="1:5">
      <c r="A146" s="16" t="str">
        <f>"626664AM"</f>
        <v>626664AM</v>
      </c>
      <c r="B146" s="16" t="str">
        <f>"Shift Gear Box Actuator"</f>
        <v>Shift Gear Box Actuator</v>
      </c>
      <c r="C146" s="17">
        <v>1</v>
      </c>
      <c r="D146" s="17" t="str">
        <f t="shared" si="5"/>
        <v>ea</v>
      </c>
      <c r="E146" s="13">
        <v>262</v>
      </c>
    </row>
    <row r="147" spans="1:5">
      <c r="A147" s="14" t="str">
        <f>"626693AM"</f>
        <v>626693AM</v>
      </c>
      <c r="B147" s="14" t="str">
        <f>"Clutch Servo 80mm"</f>
        <v>Clutch Servo 80mm</v>
      </c>
      <c r="C147" s="15">
        <v>1</v>
      </c>
      <c r="D147" s="15" t="str">
        <f t="shared" si="5"/>
        <v>ea</v>
      </c>
      <c r="E147" s="13">
        <v>491</v>
      </c>
    </row>
    <row r="148" spans="1:5">
      <c r="A148" s="16" t="str">
        <f>"626703AM"</f>
        <v>626703AM</v>
      </c>
      <c r="B148" s="16" t="str">
        <f>"Repair Kit (Servo Main kit)"</f>
        <v>Repair Kit (Servo Main kit)</v>
      </c>
      <c r="C148" s="17">
        <v>1</v>
      </c>
      <c r="D148" s="17" t="str">
        <f t="shared" si="5"/>
        <v>ea</v>
      </c>
      <c r="E148" s="13">
        <v>112</v>
      </c>
    </row>
    <row r="149" spans="1:5">
      <c r="A149" s="14" t="str">
        <f>"626729AM"</f>
        <v>626729AM</v>
      </c>
      <c r="B149" s="14" t="str">
        <f>"Repair Kit (Servo Main kit)"</f>
        <v>Repair Kit (Servo Main kit)</v>
      </c>
      <c r="C149" s="15">
        <v>1</v>
      </c>
      <c r="D149" s="15" t="str">
        <f t="shared" si="5"/>
        <v>ea</v>
      </c>
      <c r="E149" s="13">
        <v>60</v>
      </c>
    </row>
    <row r="150" spans="1:5">
      <c r="A150" s="14" t="str">
        <f>"626731AM"</f>
        <v>626731AM</v>
      </c>
      <c r="B150" s="14" t="str">
        <f>"Repair Kit (Servo Main kit)"</f>
        <v>Repair Kit (Servo Main kit)</v>
      </c>
      <c r="C150" s="15">
        <v>1</v>
      </c>
      <c r="D150" s="15" t="str">
        <f t="shared" si="5"/>
        <v>ea</v>
      </c>
      <c r="E150" s="13">
        <v>61.6</v>
      </c>
    </row>
    <row r="151" spans="1:5">
      <c r="A151" s="14" t="str">
        <f>"626733AM"</f>
        <v>626733AM</v>
      </c>
      <c r="B151" s="14" t="str">
        <f>"Repair Kit (Servo Main kit)"</f>
        <v>Repair Kit (Servo Main kit)</v>
      </c>
      <c r="C151" s="15">
        <v>1</v>
      </c>
      <c r="D151" s="15" t="str">
        <f t="shared" si="5"/>
        <v>ea</v>
      </c>
      <c r="E151" s="13">
        <v>115.8</v>
      </c>
    </row>
    <row r="152" spans="1:5">
      <c r="A152" s="14" t="str">
        <f>"626734AM"</f>
        <v>626734AM</v>
      </c>
      <c r="B152" s="14" t="str">
        <f>"Repair Kit (Air Valve)"</f>
        <v>Repair Kit (Air Valve)</v>
      </c>
      <c r="C152" s="15">
        <v>1</v>
      </c>
      <c r="D152" s="15" t="str">
        <f t="shared" si="5"/>
        <v>ea</v>
      </c>
      <c r="E152" s="13">
        <v>80.3</v>
      </c>
    </row>
    <row r="153" spans="1:5">
      <c r="A153" s="14" t="str">
        <f>"626735AM"</f>
        <v>626735AM</v>
      </c>
      <c r="B153" s="14" t="str">
        <f>"Repair Kit (Spool Assy.)"</f>
        <v>Repair Kit (Spool Assy.)</v>
      </c>
      <c r="C153" s="15">
        <v>1</v>
      </c>
      <c r="D153" s="15" t="str">
        <f t="shared" si="5"/>
        <v>ea</v>
      </c>
      <c r="E153" s="13">
        <v>48.7</v>
      </c>
    </row>
    <row r="154" spans="1:5">
      <c r="A154" s="14" t="str">
        <f>"626736AM"</f>
        <v>626736AM</v>
      </c>
      <c r="B154" s="14" t="str">
        <f>"Repair Kit (Split protection valve)"</f>
        <v>Repair Kit (Split protection valve)</v>
      </c>
      <c r="C154" s="15">
        <v>1</v>
      </c>
      <c r="D154" s="15" t="str">
        <f t="shared" si="5"/>
        <v>ea</v>
      </c>
      <c r="E154" s="13">
        <v>98</v>
      </c>
    </row>
    <row r="155" spans="1:5">
      <c r="A155" s="16" t="str">
        <f>"626760AM"</f>
        <v>626760AM</v>
      </c>
      <c r="B155" s="16" t="str">
        <f>"Master Cylinder 26 mm"</f>
        <v>Master Cylinder 26 mm</v>
      </c>
      <c r="C155" s="17">
        <v>1</v>
      </c>
      <c r="D155" s="17" t="str">
        <f t="shared" si="5"/>
        <v>ea</v>
      </c>
      <c r="E155" s="13">
        <v>121</v>
      </c>
    </row>
    <row r="156" spans="1:5">
      <c r="A156" s="14" t="str">
        <f>"626761AM"</f>
        <v>626761AM</v>
      </c>
      <c r="B156" s="14" t="str">
        <f>"Master Cylinder 24 mm"</f>
        <v>Master Cylinder 24 mm</v>
      </c>
      <c r="C156" s="15">
        <v>1</v>
      </c>
      <c r="D156" s="15" t="str">
        <f t="shared" si="5"/>
        <v>ea</v>
      </c>
      <c r="E156" s="13">
        <v>116.6</v>
      </c>
    </row>
    <row r="157" spans="1:5">
      <c r="A157" s="16" t="str">
        <f>"626762AM"</f>
        <v>626762AM</v>
      </c>
      <c r="B157" s="16" t="str">
        <f>"Master Cylinder 22 mm"</f>
        <v>Master Cylinder 22 mm</v>
      </c>
      <c r="C157" s="17">
        <v>1</v>
      </c>
      <c r="D157" s="17" t="str">
        <f t="shared" si="5"/>
        <v>ea</v>
      </c>
      <c r="E157" s="13">
        <v>136</v>
      </c>
    </row>
    <row r="158" spans="1:5">
      <c r="A158" s="14" t="str">
        <f>"626787AM"</f>
        <v>626787AM</v>
      </c>
      <c r="B158" s="14" t="str">
        <f>"Repair Kit"</f>
        <v>Repair Kit</v>
      </c>
      <c r="C158" s="15">
        <v>1</v>
      </c>
      <c r="D158" s="15" t="str">
        <f t="shared" si="5"/>
        <v>ea</v>
      </c>
      <c r="E158" s="13">
        <v>85.8</v>
      </c>
    </row>
    <row r="159" spans="1:5">
      <c r="A159" s="14" t="str">
        <f>"626790AM"</f>
        <v>626790AM</v>
      </c>
      <c r="B159" s="14" t="str">
        <f>"Spool assy"</f>
        <v>Spool assy</v>
      </c>
      <c r="C159" s="15">
        <v>1</v>
      </c>
      <c r="D159" s="15" t="str">
        <f t="shared" si="5"/>
        <v>ea</v>
      </c>
      <c r="E159" s="13">
        <v>52.8</v>
      </c>
    </row>
    <row r="160" spans="1:5">
      <c r="A160" s="14" t="str">
        <f>"626853AM"</f>
        <v>626853AM</v>
      </c>
      <c r="B160" s="14" t="str">
        <f>"Clutch Servo 80 mm"</f>
        <v>Clutch Servo 80 mm</v>
      </c>
      <c r="C160" s="15">
        <v>1</v>
      </c>
      <c r="D160" s="15" t="str">
        <f t="shared" si="5"/>
        <v>ea</v>
      </c>
      <c r="E160" s="13">
        <v>398</v>
      </c>
    </row>
    <row r="161" spans="1:5">
      <c r="A161" s="14" t="str">
        <f>"626964AM"</f>
        <v>626964AM</v>
      </c>
      <c r="B161" s="14" t="str">
        <f>"Repair Kit (Update kit)"</f>
        <v>Repair Kit (Update kit)</v>
      </c>
      <c r="C161" s="15">
        <v>1</v>
      </c>
      <c r="D161" s="15" t="str">
        <f t="shared" si="5"/>
        <v>ea</v>
      </c>
      <c r="E161" s="13">
        <v>72.599999999999994</v>
      </c>
    </row>
    <row r="162" spans="1:5">
      <c r="A162" s="14" t="str">
        <f>"626965AM"</f>
        <v>626965AM</v>
      </c>
      <c r="B162" s="14" t="str">
        <f>"Repair Kit"</f>
        <v>Repair Kit</v>
      </c>
      <c r="C162" s="15">
        <v>1</v>
      </c>
      <c r="D162" s="15" t="str">
        <f t="shared" si="5"/>
        <v>ea</v>
      </c>
      <c r="E162" s="13">
        <v>67.099999999999994</v>
      </c>
    </row>
    <row r="163" spans="1:5">
      <c r="A163" s="14" t="str">
        <f>"627111AM"</f>
        <v>627111AM</v>
      </c>
      <c r="B163" s="14" t="str">
        <f>"Pressure Sensor MB"</f>
        <v>Pressure Sensor MB</v>
      </c>
      <c r="C163" s="15">
        <v>1</v>
      </c>
      <c r="D163" s="15" t="str">
        <f t="shared" si="5"/>
        <v>ea</v>
      </c>
      <c r="E163" s="13">
        <v>228</v>
      </c>
    </row>
    <row r="164" spans="1:5">
      <c r="A164" s="14" t="str">
        <f>"627132AM"</f>
        <v>627132AM</v>
      </c>
      <c r="B164" s="14" t="str">
        <f>"Shift Gear Box Actuator"</f>
        <v>Shift Gear Box Actuator</v>
      </c>
      <c r="C164" s="15">
        <v>1</v>
      </c>
      <c r="D164" s="15" t="str">
        <f t="shared" si="5"/>
        <v>ea</v>
      </c>
      <c r="E164" s="13">
        <v>614</v>
      </c>
    </row>
    <row r="165" spans="1:5">
      <c r="A165" s="16" t="str">
        <f>"627182AM"</f>
        <v>627182AM</v>
      </c>
      <c r="B165" s="16" t="str">
        <f>"Repair Kit (Servo Main kit)"</f>
        <v>Repair Kit (Servo Main kit)</v>
      </c>
      <c r="C165" s="17">
        <v>1</v>
      </c>
      <c r="D165" s="17" t="str">
        <f t="shared" si="5"/>
        <v>ea</v>
      </c>
      <c r="E165" s="13">
        <v>133</v>
      </c>
    </row>
    <row r="166" spans="1:5">
      <c r="A166" s="14" t="str">
        <f>"627200AM"</f>
        <v>627200AM</v>
      </c>
      <c r="B166" s="14" t="str">
        <f>"Repair Kit (Master Cyl.)"</f>
        <v>Repair Kit (Master Cyl.)</v>
      </c>
      <c r="C166" s="15">
        <v>1</v>
      </c>
      <c r="D166" s="15" t="str">
        <f t="shared" si="5"/>
        <v>ea</v>
      </c>
      <c r="E166" s="13">
        <v>55</v>
      </c>
    </row>
    <row r="167" spans="1:5">
      <c r="A167" s="14" t="str">
        <f>"627201AM"</f>
        <v>627201AM</v>
      </c>
      <c r="B167" s="14" t="str">
        <f>"Repair Kit (Master Cyl.)"</f>
        <v>Repair Kit (Master Cyl.)</v>
      </c>
      <c r="C167" s="15">
        <v>1</v>
      </c>
      <c r="D167" s="15" t="str">
        <f t="shared" si="5"/>
        <v>ea</v>
      </c>
      <c r="E167" s="13">
        <v>61.6</v>
      </c>
    </row>
    <row r="168" spans="1:5">
      <c r="A168" s="14" t="str">
        <f>"627202AM"</f>
        <v>627202AM</v>
      </c>
      <c r="B168" s="14" t="str">
        <f>"Repair Kit (Master Cyl.)"</f>
        <v>Repair Kit (Master Cyl.)</v>
      </c>
      <c r="C168" s="15">
        <v>1</v>
      </c>
      <c r="D168" s="15" t="str">
        <f t="shared" si="5"/>
        <v>ea</v>
      </c>
      <c r="E168" s="13">
        <v>59.4</v>
      </c>
    </row>
    <row r="169" spans="1:5">
      <c r="A169" s="14" t="str">
        <f>"627307AM"</f>
        <v>627307AM</v>
      </c>
      <c r="B169" s="14" t="str">
        <f>"Gear Lever Actuator"</f>
        <v>Gear Lever Actuator</v>
      </c>
      <c r="C169" s="15">
        <v>1</v>
      </c>
      <c r="D169" s="15" t="str">
        <f t="shared" si="5"/>
        <v>ea</v>
      </c>
      <c r="E169" s="13">
        <v>129.80000000000001</v>
      </c>
    </row>
    <row r="170" spans="1:5">
      <c r="A170" s="14" t="str">
        <f>"627319AM"</f>
        <v>627319AM</v>
      </c>
      <c r="B170" s="14" t="str">
        <f>"GLA"</f>
        <v>GLA</v>
      </c>
      <c r="C170" s="15">
        <v>1</v>
      </c>
      <c r="D170" s="15" t="str">
        <f t="shared" si="5"/>
        <v>ea</v>
      </c>
      <c r="E170" s="13">
        <v>1216.2</v>
      </c>
    </row>
    <row r="171" spans="1:5">
      <c r="A171" s="16" t="str">
        <f>"627366AM"</f>
        <v>627366AM</v>
      </c>
      <c r="B171" s="16" t="str">
        <f>"Repair Kit (Servo Main kit)"</f>
        <v>Repair Kit (Servo Main kit)</v>
      </c>
      <c r="C171" s="17">
        <v>1</v>
      </c>
      <c r="D171" s="17" t="str">
        <f t="shared" si="5"/>
        <v>ea</v>
      </c>
      <c r="E171" s="13">
        <v>133</v>
      </c>
    </row>
    <row r="172" spans="1:5">
      <c r="A172" s="14" t="str">
        <f>"627402AM"</f>
        <v>627402AM</v>
      </c>
      <c r="B172" s="14" t="str">
        <f>"Master cylinder"</f>
        <v>Master cylinder</v>
      </c>
      <c r="C172" s="15">
        <v>1</v>
      </c>
      <c r="D172" s="15" t="str">
        <f t="shared" si="5"/>
        <v>ea</v>
      </c>
      <c r="E172" s="13">
        <v>122.6</v>
      </c>
    </row>
    <row r="173" spans="1:5">
      <c r="A173" s="14" t="str">
        <f>"627494AM"</f>
        <v>627494AM</v>
      </c>
      <c r="B173" s="14" t="str">
        <f>"Shift Gear Box Actuator"</f>
        <v>Shift Gear Box Actuator</v>
      </c>
      <c r="C173" s="15">
        <v>1</v>
      </c>
      <c r="D173" s="15" t="str">
        <f t="shared" si="5"/>
        <v>ea</v>
      </c>
      <c r="E173" s="13">
        <v>832</v>
      </c>
    </row>
    <row r="174" spans="1:5">
      <c r="A174" s="16" t="str">
        <f>"627496AM"</f>
        <v>627496AM</v>
      </c>
      <c r="B174" s="16" t="str">
        <f>"Gear Lever Actuator"</f>
        <v>Gear Lever Actuator</v>
      </c>
      <c r="C174" s="17">
        <v>1</v>
      </c>
      <c r="D174" s="17" t="str">
        <f t="shared" si="5"/>
        <v>ea</v>
      </c>
      <c r="E174" s="13">
        <v>942</v>
      </c>
    </row>
    <row r="175" spans="1:5">
      <c r="A175" s="14" t="str">
        <f>"627497AM"</f>
        <v>627497AM</v>
      </c>
      <c r="B175" s="14" t="str">
        <f>"Clutch Servo 80 mm"</f>
        <v>Clutch Servo 80 mm</v>
      </c>
      <c r="C175" s="15">
        <v>1</v>
      </c>
      <c r="D175" s="15" t="str">
        <f t="shared" si="5"/>
        <v>ea</v>
      </c>
      <c r="E175" s="13">
        <v>427</v>
      </c>
    </row>
    <row r="176" spans="1:5">
      <c r="A176" s="14" t="str">
        <f>"627499AM"</f>
        <v>627499AM</v>
      </c>
      <c r="B176" s="14" t="str">
        <f>"Clutch Servo 80 mm"</f>
        <v>Clutch Servo 80 mm</v>
      </c>
      <c r="C176" s="15">
        <v>1</v>
      </c>
      <c r="D176" s="15" t="str">
        <f t="shared" si="5"/>
        <v>ea</v>
      </c>
      <c r="E176" s="13">
        <v>449</v>
      </c>
    </row>
    <row r="177" spans="1:5">
      <c r="A177" s="16" t="str">
        <f>"627612AM"</f>
        <v>627612AM</v>
      </c>
      <c r="B177" s="16" t="str">
        <f>"Clutch Servo 100 mm"</f>
        <v>Clutch Servo 100 mm</v>
      </c>
      <c r="C177" s="17">
        <v>1</v>
      </c>
      <c r="D177" s="17" t="str">
        <f t="shared" si="5"/>
        <v>ea</v>
      </c>
      <c r="E177" s="13">
        <v>545</v>
      </c>
    </row>
    <row r="178" spans="1:5">
      <c r="A178" s="14" t="str">
        <f>"627621AM"</f>
        <v>627621AM</v>
      </c>
      <c r="B178" s="14" t="str">
        <f>"Repair Kit (Air Valve)"</f>
        <v>Repair Kit (Air Valve)</v>
      </c>
      <c r="C178" s="15">
        <v>1</v>
      </c>
      <c r="D178" s="15" t="str">
        <f t="shared" si="5"/>
        <v>ea</v>
      </c>
      <c r="E178" s="13">
        <v>41.6</v>
      </c>
    </row>
    <row r="179" spans="1:5">
      <c r="A179" s="14" t="str">
        <f>"627622AM"</f>
        <v>627622AM</v>
      </c>
      <c r="B179" s="14" t="str">
        <f>"Repair Kit (Servo Main kit)"</f>
        <v>Repair Kit (Servo Main kit)</v>
      </c>
      <c r="C179" s="15">
        <v>1</v>
      </c>
      <c r="D179" s="15" t="str">
        <f t="shared" si="5"/>
        <v>ea</v>
      </c>
      <c r="E179" s="13">
        <v>63.8</v>
      </c>
    </row>
    <row r="180" spans="1:5">
      <c r="A180" s="14" t="str">
        <f>"627623AM"</f>
        <v>627623AM</v>
      </c>
      <c r="B180" s="14" t="str">
        <f>"Repair Kit"</f>
        <v>Repair Kit</v>
      </c>
      <c r="C180" s="15">
        <v>1</v>
      </c>
      <c r="D180" s="15" t="str">
        <f t="shared" si="5"/>
        <v>ea</v>
      </c>
      <c r="E180" s="13">
        <v>38.799999999999997</v>
      </c>
    </row>
    <row r="181" spans="1:5">
      <c r="A181" s="14" t="str">
        <f>"627626AM"</f>
        <v>627626AM</v>
      </c>
      <c r="B181" s="14" t="str">
        <f>"Clutch Servo 80"""</f>
        <v>Clutch Servo 80"</v>
      </c>
      <c r="C181" s="15">
        <v>1</v>
      </c>
      <c r="D181" s="15" t="str">
        <f t="shared" si="5"/>
        <v>ea</v>
      </c>
      <c r="E181" s="13">
        <v>460</v>
      </c>
    </row>
    <row r="182" spans="1:5">
      <c r="A182" s="14" t="str">
        <f>"628012AM"</f>
        <v>628012AM</v>
      </c>
      <c r="B182" s="14" t="str">
        <f>"Kit Seal case"</f>
        <v>Kit Seal case</v>
      </c>
      <c r="C182" s="15">
        <v>1</v>
      </c>
      <c r="D182" s="15" t="str">
        <f t="shared" si="5"/>
        <v>ea</v>
      </c>
      <c r="E182" s="13">
        <v>306</v>
      </c>
    </row>
    <row r="183" spans="1:5">
      <c r="A183" s="16" t="str">
        <f>"628027AM"</f>
        <v>628027AM</v>
      </c>
      <c r="B183" s="16" t="str">
        <f>"Clutch Servo 100 mm"</f>
        <v>Clutch Servo 100 mm</v>
      </c>
      <c r="C183" s="17">
        <v>1</v>
      </c>
      <c r="D183" s="17" t="str">
        <f t="shared" si="5"/>
        <v>ea</v>
      </c>
      <c r="E183" s="13">
        <v>455</v>
      </c>
    </row>
    <row r="184" spans="1:5">
      <c r="A184" s="14" t="str">
        <f>"628036AM"</f>
        <v>628036AM</v>
      </c>
      <c r="B184" s="14" t="str">
        <f>"Clutch Servo 100 mm"</f>
        <v>Clutch Servo 100 mm</v>
      </c>
      <c r="C184" s="15">
        <v>1</v>
      </c>
      <c r="D184" s="15" t="str">
        <f t="shared" si="5"/>
        <v>ea</v>
      </c>
      <c r="E184" s="13">
        <v>437.8</v>
      </c>
    </row>
    <row r="185" spans="1:5">
      <c r="A185" s="14" t="str">
        <f>"628040AM"</f>
        <v>628040AM</v>
      </c>
      <c r="B185" s="14" t="str">
        <f>"Bleed plug + Bleed nipple"</f>
        <v>Bleed plug + Bleed nipple</v>
      </c>
      <c r="C185" s="15">
        <v>1</v>
      </c>
      <c r="D185" s="15" t="str">
        <f t="shared" si="5"/>
        <v>ea</v>
      </c>
      <c r="E185" s="13">
        <v>41</v>
      </c>
    </row>
    <row r="186" spans="1:5">
      <c r="A186" s="14" t="str">
        <f>"628043AM"</f>
        <v>628043AM</v>
      </c>
      <c r="B186" s="14" t="str">
        <f>"Kit Seal case for 626321"</f>
        <v>Kit Seal case for 626321</v>
      </c>
      <c r="C186" s="15">
        <v>1</v>
      </c>
      <c r="D186" s="15" t="str">
        <f t="shared" si="5"/>
        <v>ea</v>
      </c>
      <c r="E186" s="13">
        <v>300</v>
      </c>
    </row>
    <row r="187" spans="1:5">
      <c r="A187" s="14" t="str">
        <f>"628072AM"</f>
        <v>628072AM</v>
      </c>
      <c r="B187" s="14" t="str">
        <f>"Seal case Assy repair kit for 627496"</f>
        <v>Seal case Assy repair kit for 627496</v>
      </c>
      <c r="C187" s="15">
        <v>1</v>
      </c>
      <c r="D187" s="15" t="str">
        <f t="shared" si="5"/>
        <v>ea</v>
      </c>
      <c r="E187" s="13">
        <v>357</v>
      </c>
    </row>
    <row r="188" spans="1:5">
      <c r="A188" s="14" t="str">
        <f>"628073AM"</f>
        <v>628073AM</v>
      </c>
      <c r="B188" s="14" t="str">
        <f>"Plunging pistons"</f>
        <v>Plunging pistons</v>
      </c>
      <c r="C188" s="15">
        <v>1</v>
      </c>
      <c r="D188" s="15" t="str">
        <f t="shared" si="5"/>
        <v>ea</v>
      </c>
      <c r="E188" s="13">
        <v>385</v>
      </c>
    </row>
    <row r="189" spans="1:5">
      <c r="A189" s="14" t="str">
        <f>"628074AM"</f>
        <v>628074AM</v>
      </c>
      <c r="B189" s="14" t="str">
        <f>"GLU"</f>
        <v>GLU</v>
      </c>
      <c r="C189" s="15">
        <v>1</v>
      </c>
      <c r="D189" s="15" t="str">
        <f t="shared" si="5"/>
        <v>ea</v>
      </c>
      <c r="E189" s="13">
        <v>305</v>
      </c>
    </row>
    <row r="190" spans="1:5">
      <c r="A190" s="14" t="str">
        <f>"628075AM"</f>
        <v>628075AM</v>
      </c>
      <c r="B190" s="14" t="str">
        <f>"Level Tube"</f>
        <v>Level Tube</v>
      </c>
      <c r="C190" s="15">
        <v>1</v>
      </c>
      <c r="D190" s="15" t="str">
        <f t="shared" si="5"/>
        <v>ea</v>
      </c>
      <c r="E190" s="13">
        <v>41</v>
      </c>
    </row>
    <row r="191" spans="1:5">
      <c r="A191" s="14" t="str">
        <f>"628076AM"</f>
        <v>628076AM</v>
      </c>
      <c r="B191" s="14" t="str">
        <f>"Nippel"</f>
        <v>Nippel</v>
      </c>
      <c r="C191" s="15">
        <v>1</v>
      </c>
      <c r="D191" s="15" t="str">
        <f t="shared" si="5"/>
        <v>ea</v>
      </c>
      <c r="E191" s="13">
        <v>17.600000000000001</v>
      </c>
    </row>
    <row r="192" spans="1:5">
      <c r="A192" s="16" t="str">
        <f>"628131AM"</f>
        <v>628131AM</v>
      </c>
      <c r="B192" s="16" t="str">
        <f>"Repair Kit"</f>
        <v>Repair Kit</v>
      </c>
      <c r="C192" s="17">
        <v>1</v>
      </c>
      <c r="D192" s="17" t="str">
        <f t="shared" si="5"/>
        <v>ea</v>
      </c>
      <c r="E192" s="13">
        <v>117</v>
      </c>
    </row>
    <row r="193" spans="1:5">
      <c r="A193" s="14" t="str">
        <f>"628258AM"</f>
        <v>628258AM</v>
      </c>
      <c r="B193" s="14" t="str">
        <f>"Clutch Servo 100 mm"</f>
        <v>Clutch Servo 100 mm</v>
      </c>
      <c r="C193" s="15">
        <v>1</v>
      </c>
      <c r="D193" s="15" t="str">
        <f t="shared" si="5"/>
        <v>ea</v>
      </c>
      <c r="E193" s="13">
        <v>407</v>
      </c>
    </row>
    <row r="194" spans="1:5">
      <c r="A194" s="16" t="str">
        <f>"628259AM"</f>
        <v>628259AM</v>
      </c>
      <c r="B194" s="16" t="str">
        <f>"Clutch Servo 100 mm"</f>
        <v>Clutch Servo 100 mm</v>
      </c>
      <c r="C194" s="17">
        <v>1</v>
      </c>
      <c r="D194" s="17" t="str">
        <f t="shared" si="5"/>
        <v>ea</v>
      </c>
      <c r="E194" s="13">
        <v>429</v>
      </c>
    </row>
    <row r="195" spans="1:5">
      <c r="A195" s="16" t="str">
        <f>"628260AM"</f>
        <v>628260AM</v>
      </c>
      <c r="B195" s="16" t="str">
        <f>"Clutch Servo 100 mm"</f>
        <v>Clutch Servo 100 mm</v>
      </c>
      <c r="C195" s="17">
        <v>1</v>
      </c>
      <c r="D195" s="17" t="str">
        <f t="shared" si="5"/>
        <v>ea</v>
      </c>
      <c r="E195" s="13">
        <v>429</v>
      </c>
    </row>
    <row r="196" spans="1:5">
      <c r="A196" s="16" t="str">
        <f>"628275AM"</f>
        <v>628275AM</v>
      </c>
      <c r="B196" s="16" t="str">
        <f>"Clutch Servo 100 mm"</f>
        <v>Clutch Servo 100 mm</v>
      </c>
      <c r="C196" s="17">
        <v>1</v>
      </c>
      <c r="D196" s="17" t="str">
        <f t="shared" si="5"/>
        <v>ea</v>
      </c>
      <c r="E196" s="13">
        <v>429</v>
      </c>
    </row>
    <row r="197" spans="1:5">
      <c r="A197" s="16" t="str">
        <f>"628276AM"</f>
        <v>628276AM</v>
      </c>
      <c r="B197" s="16" t="str">
        <f>"Clutch Servo 80 mm"</f>
        <v>Clutch Servo 80 mm</v>
      </c>
      <c r="C197" s="17">
        <v>1</v>
      </c>
      <c r="D197" s="17" t="str">
        <f t="shared" ref="D197:D253" si="6">"ea"</f>
        <v>ea</v>
      </c>
      <c r="E197" s="13">
        <v>429</v>
      </c>
    </row>
    <row r="198" spans="1:5">
      <c r="A198" s="16" t="str">
        <f>"628277AM"</f>
        <v>628277AM</v>
      </c>
      <c r="B198" s="16" t="str">
        <f>"Clutch Servo 80 mm"</f>
        <v>Clutch Servo 80 mm</v>
      </c>
      <c r="C198" s="17">
        <v>1</v>
      </c>
      <c r="D198" s="17" t="str">
        <f t="shared" si="6"/>
        <v>ea</v>
      </c>
      <c r="E198" s="13">
        <v>429</v>
      </c>
    </row>
    <row r="199" spans="1:5">
      <c r="A199" s="16" t="str">
        <f>"628304AM"</f>
        <v>628304AM</v>
      </c>
      <c r="B199" s="16" t="str">
        <f>"Repair Kit (Servo Main kit)"</f>
        <v>Repair Kit (Servo Main kit)</v>
      </c>
      <c r="C199" s="17">
        <v>1</v>
      </c>
      <c r="D199" s="17" t="str">
        <f t="shared" si="6"/>
        <v>ea</v>
      </c>
      <c r="E199" s="13">
        <v>91</v>
      </c>
    </row>
    <row r="200" spans="1:5">
      <c r="A200" s="16" t="str">
        <f>"628305AM"</f>
        <v>628305AM</v>
      </c>
      <c r="B200" s="16" t="str">
        <f>"Repair Kit (Servo Main kit)"</f>
        <v>Repair Kit (Servo Main kit)</v>
      </c>
      <c r="C200" s="17">
        <v>1</v>
      </c>
      <c r="D200" s="17" t="str">
        <f t="shared" si="6"/>
        <v>ea</v>
      </c>
      <c r="E200" s="13">
        <v>99</v>
      </c>
    </row>
    <row r="201" spans="1:5">
      <c r="A201" s="16" t="str">
        <f>"628306AM"</f>
        <v>628306AM</v>
      </c>
      <c r="B201" s="16" t="str">
        <f>"Repair Kit (Air Valve)"</f>
        <v>Repair Kit (Air Valve)</v>
      </c>
      <c r="C201" s="17">
        <v>1</v>
      </c>
      <c r="D201" s="17" t="str">
        <f t="shared" si="6"/>
        <v>ea</v>
      </c>
      <c r="E201" s="13">
        <v>64</v>
      </c>
    </row>
    <row r="202" spans="1:5">
      <c r="A202" s="16" t="str">
        <f>"628368AM"</f>
        <v>628368AM</v>
      </c>
      <c r="B202" s="16" t="str">
        <f>"Repair Kit (Servo Main kit)"</f>
        <v>Repair Kit (Servo Main kit)</v>
      </c>
      <c r="C202" s="17">
        <v>1</v>
      </c>
      <c r="D202" s="17" t="str">
        <f t="shared" si="6"/>
        <v>ea</v>
      </c>
      <c r="E202" s="13">
        <v>101</v>
      </c>
    </row>
    <row r="203" spans="1:5">
      <c r="A203" s="14" t="str">
        <f>"628400AM"</f>
        <v>628400AM</v>
      </c>
      <c r="B203" s="14" t="str">
        <f>"Bleed plug &amp; bleed nippel"</f>
        <v>Bleed plug &amp; bleed nippel</v>
      </c>
      <c r="C203" s="15">
        <v>1</v>
      </c>
      <c r="D203" s="15" t="str">
        <f t="shared" si="6"/>
        <v>ea</v>
      </c>
      <c r="E203" s="13">
        <v>44.3</v>
      </c>
    </row>
    <row r="204" spans="1:5">
      <c r="A204" s="16" t="str">
        <f>"628446AM"</f>
        <v>628446AM</v>
      </c>
      <c r="B204" s="16" t="str">
        <f>"Clutch Servo 100 mm (160N)"</f>
        <v>Clutch Servo 100 mm (160N)</v>
      </c>
      <c r="C204" s="17">
        <v>1</v>
      </c>
      <c r="D204" s="17" t="str">
        <f t="shared" si="6"/>
        <v>ea</v>
      </c>
      <c r="E204" s="13">
        <v>467</v>
      </c>
    </row>
    <row r="205" spans="1:5">
      <c r="A205" s="16" t="str">
        <f>"628447AM"</f>
        <v>628447AM</v>
      </c>
      <c r="B205" s="16" t="str">
        <f>"Clutch Servo 100 mm (70N)"</f>
        <v>Clutch Servo 100 mm (70N)</v>
      </c>
      <c r="C205" s="17">
        <v>1</v>
      </c>
      <c r="D205" s="17" t="str">
        <f t="shared" si="6"/>
        <v>ea</v>
      </c>
      <c r="E205" s="13">
        <v>467</v>
      </c>
    </row>
    <row r="206" spans="1:5">
      <c r="A206" s="16" t="str">
        <f>"628448AM"</f>
        <v>628448AM</v>
      </c>
      <c r="B206" s="16" t="str">
        <f>"Clutch Servo 100 mm"</f>
        <v>Clutch Servo 100 mm</v>
      </c>
      <c r="C206" s="17">
        <v>1</v>
      </c>
      <c r="D206" s="17" t="str">
        <f t="shared" si="6"/>
        <v>ea</v>
      </c>
      <c r="E206" s="13">
        <v>428</v>
      </c>
    </row>
    <row r="207" spans="1:5">
      <c r="A207" s="16" t="str">
        <f>"628450AM"</f>
        <v>628450AM</v>
      </c>
      <c r="B207" s="16" t="str">
        <f>"Clutch Servo 100 mm"</f>
        <v>Clutch Servo 100 mm</v>
      </c>
      <c r="C207" s="17">
        <v>1</v>
      </c>
      <c r="D207" s="17" t="str">
        <f t="shared" si="6"/>
        <v>ea</v>
      </c>
      <c r="E207" s="13">
        <v>428</v>
      </c>
    </row>
    <row r="208" spans="1:5">
      <c r="A208" s="14" t="str">
        <f>"628456AM"</f>
        <v>628456AM</v>
      </c>
      <c r="B208" s="14" t="str">
        <f>"Valve Herion"</f>
        <v>Valve Herion</v>
      </c>
      <c r="C208" s="15">
        <v>1</v>
      </c>
      <c r="D208" s="15" t="str">
        <f t="shared" si="6"/>
        <v>ea</v>
      </c>
      <c r="E208" s="13">
        <v>619</v>
      </c>
    </row>
    <row r="209" spans="1:5">
      <c r="A209" s="14" t="str">
        <f>"628469AM"</f>
        <v>628469AM</v>
      </c>
      <c r="B209" s="14" t="str">
        <f>"Bleed nippel"</f>
        <v>Bleed nippel</v>
      </c>
      <c r="C209" s="15">
        <v>1</v>
      </c>
      <c r="D209" s="15" t="str">
        <f t="shared" si="6"/>
        <v>ea</v>
      </c>
      <c r="E209" s="13">
        <v>46.2</v>
      </c>
    </row>
    <row r="210" spans="1:5">
      <c r="A210" s="14" t="str">
        <f>"628476AM"</f>
        <v>628476AM</v>
      </c>
      <c r="B210" s="14" t="str">
        <f>"Repair Kit (Servo Main kit)"</f>
        <v>Repair Kit (Servo Main kit)</v>
      </c>
      <c r="C210" s="15">
        <v>1</v>
      </c>
      <c r="D210" s="15" t="str">
        <f t="shared" si="6"/>
        <v>ea</v>
      </c>
      <c r="E210" s="13">
        <v>100</v>
      </c>
    </row>
    <row r="211" spans="1:5">
      <c r="A211" s="14" t="str">
        <f>"628477AM"</f>
        <v>628477AM</v>
      </c>
      <c r="B211" s="14" t="str">
        <f>"Repair Kit (Servo Cover with Bellow)"</f>
        <v>Repair Kit (Servo Cover with Bellow)</v>
      </c>
      <c r="C211" s="15">
        <v>1</v>
      </c>
      <c r="D211" s="15" t="str">
        <f t="shared" si="6"/>
        <v>ea</v>
      </c>
      <c r="E211" s="13">
        <v>57.2</v>
      </c>
    </row>
    <row r="212" spans="1:5">
      <c r="A212" s="14" t="str">
        <f>"628494AM"</f>
        <v>628494AM</v>
      </c>
      <c r="B212" s="14" t="str">
        <f>"Clutch Servo 100 mm"</f>
        <v>Clutch Servo 100 mm</v>
      </c>
      <c r="C212" s="15">
        <v>1</v>
      </c>
      <c r="D212" s="15" t="str">
        <f t="shared" si="6"/>
        <v>ea</v>
      </c>
      <c r="E212" s="13">
        <v>418</v>
      </c>
    </row>
    <row r="213" spans="1:5">
      <c r="A213" s="14" t="str">
        <f>"628509AM"</f>
        <v>628509AM</v>
      </c>
      <c r="B213" s="14" t="str">
        <f>"Repair Kit for 626453"</f>
        <v>Repair Kit for 626453</v>
      </c>
      <c r="C213" s="15">
        <v>1</v>
      </c>
      <c r="D213" s="15" t="str">
        <f t="shared" si="6"/>
        <v>ea</v>
      </c>
      <c r="E213" s="13">
        <v>1029</v>
      </c>
    </row>
    <row r="214" spans="1:5">
      <c r="A214" s="14" t="str">
        <f>"628510AM"</f>
        <v>628510AM</v>
      </c>
      <c r="B214" s="14" t="str">
        <f>"Repair Kit for 626453"</f>
        <v>Repair Kit for 626453</v>
      </c>
      <c r="C214" s="15">
        <v>1</v>
      </c>
      <c r="D214" s="15" t="str">
        <f t="shared" si="6"/>
        <v>ea</v>
      </c>
      <c r="E214" s="13">
        <v>72.599999999999994</v>
      </c>
    </row>
    <row r="215" spans="1:5">
      <c r="A215" s="14" t="str">
        <f>"628511AM"</f>
        <v>628511AM</v>
      </c>
      <c r="B215" s="14" t="str">
        <f>"Repair Kit for 625522"</f>
        <v>Repair Kit for 625522</v>
      </c>
      <c r="C215" s="15">
        <v>1</v>
      </c>
      <c r="D215" s="15" t="str">
        <f t="shared" si="6"/>
        <v>ea</v>
      </c>
      <c r="E215" s="13">
        <v>521</v>
      </c>
    </row>
    <row r="216" spans="1:5">
      <c r="A216" s="14" t="str">
        <f>"628564AM"</f>
        <v>628564AM</v>
      </c>
      <c r="B216" s="14" t="str">
        <f>"Repair Kit for 627307 and 626446"</f>
        <v>Repair Kit for 627307 and 626446</v>
      </c>
      <c r="C216" s="15">
        <v>1</v>
      </c>
      <c r="D216" s="15" t="str">
        <f t="shared" si="6"/>
        <v>ea</v>
      </c>
      <c r="E216" s="13">
        <v>260</v>
      </c>
    </row>
    <row r="217" spans="1:5">
      <c r="A217" s="14" t="str">
        <f>"628637AM"</f>
        <v>628637AM</v>
      </c>
      <c r="B217" s="14" t="str">
        <f>"Bleed Plug"</f>
        <v>Bleed Plug</v>
      </c>
      <c r="C217" s="15">
        <v>1</v>
      </c>
      <c r="D217" s="15" t="str">
        <f t="shared" si="6"/>
        <v>ea</v>
      </c>
      <c r="E217" s="13">
        <v>35.200000000000003</v>
      </c>
    </row>
    <row r="218" spans="1:5">
      <c r="A218" s="16" t="str">
        <f>"629134AM"</f>
        <v>629134AM</v>
      </c>
      <c r="B218" s="16" t="str">
        <f>"Clutch Servo 100mm"</f>
        <v>Clutch Servo 100mm</v>
      </c>
      <c r="C218" s="17">
        <v>1</v>
      </c>
      <c r="D218" s="17" t="str">
        <f t="shared" si="6"/>
        <v>ea</v>
      </c>
      <c r="E218" s="13">
        <v>424</v>
      </c>
    </row>
    <row r="219" spans="1:5">
      <c r="A219" s="14" t="str">
        <f>"629135AM"</f>
        <v>629135AM</v>
      </c>
      <c r="B219" s="14" t="str">
        <f>"Clutch Servo 100mm"</f>
        <v>Clutch Servo 100mm</v>
      </c>
      <c r="C219" s="15">
        <v>1</v>
      </c>
      <c r="D219" s="15" t="str">
        <f t="shared" si="6"/>
        <v>ea</v>
      </c>
      <c r="E219" s="13">
        <v>381</v>
      </c>
    </row>
    <row r="220" spans="1:5">
      <c r="A220" s="14" t="str">
        <f>"629137AM"</f>
        <v>629137AM</v>
      </c>
      <c r="B220" s="14" t="str">
        <f>"Shift Gear Box Actuator"</f>
        <v>Shift Gear Box Actuator</v>
      </c>
      <c r="C220" s="15">
        <v>1</v>
      </c>
      <c r="D220" s="15" t="str">
        <f t="shared" si="6"/>
        <v>ea</v>
      </c>
      <c r="E220" s="13">
        <v>293</v>
      </c>
    </row>
    <row r="221" spans="1:5">
      <c r="A221" s="16" t="str">
        <f>"629138AM"</f>
        <v>629138AM</v>
      </c>
      <c r="B221" s="16" t="str">
        <f>"Shift cylinder"</f>
        <v>Shift cylinder</v>
      </c>
      <c r="C221" s="17">
        <v>1</v>
      </c>
      <c r="D221" s="17" t="str">
        <f t="shared" si="6"/>
        <v>ea</v>
      </c>
      <c r="E221" s="13">
        <v>953</v>
      </c>
    </row>
    <row r="222" spans="1:5">
      <c r="A222" s="16" t="str">
        <f>"629139AM"</f>
        <v>629139AM</v>
      </c>
      <c r="B222" s="16" t="str">
        <f>"Shift Gear Box Actuator with split"</f>
        <v>Shift Gear Box Actuator with split</v>
      </c>
      <c r="C222" s="17">
        <v>1</v>
      </c>
      <c r="D222" s="17" t="str">
        <f t="shared" si="6"/>
        <v>ea</v>
      </c>
      <c r="E222" s="13">
        <v>953</v>
      </c>
    </row>
    <row r="223" spans="1:5">
      <c r="A223" s="14" t="str">
        <f>"629184AM"</f>
        <v>629184AM</v>
      </c>
      <c r="B223" s="14" t="str">
        <f>"Clutch Servo Mineral Oil"</f>
        <v>Clutch Servo Mineral Oil</v>
      </c>
      <c r="C223" s="15">
        <v>1</v>
      </c>
      <c r="D223" s="15" t="str">
        <f t="shared" si="6"/>
        <v>ea</v>
      </c>
      <c r="E223" s="13">
        <v>405</v>
      </c>
    </row>
    <row r="224" spans="1:5">
      <c r="A224" s="14" t="str">
        <f>"629218AM"</f>
        <v>629218AM</v>
      </c>
      <c r="B224" s="14" t="str">
        <f>"Shift Gear Box Actuator"</f>
        <v>Shift Gear Box Actuator</v>
      </c>
      <c r="C224" s="15">
        <v>1</v>
      </c>
      <c r="D224" s="15" t="str">
        <f t="shared" si="6"/>
        <v>ea</v>
      </c>
      <c r="E224" s="13">
        <v>181.5</v>
      </c>
    </row>
    <row r="225" spans="1:5">
      <c r="A225" s="14" t="str">
        <f>"629219AM"</f>
        <v>629219AM</v>
      </c>
      <c r="B225" s="14" t="str">
        <f>"Select Gear Box Actuator"</f>
        <v>Select Gear Box Actuator</v>
      </c>
      <c r="C225" s="15">
        <v>1</v>
      </c>
      <c r="D225" s="15" t="str">
        <f t="shared" si="6"/>
        <v>ea</v>
      </c>
      <c r="E225" s="13">
        <v>187</v>
      </c>
    </row>
    <row r="226" spans="1:5">
      <c r="A226" s="16" t="str">
        <f>"629276AM"</f>
        <v>629276AM</v>
      </c>
      <c r="B226" s="16" t="str">
        <f>"Clutch Servo 100 mm"</f>
        <v>Clutch Servo 100 mm</v>
      </c>
      <c r="C226" s="17">
        <v>1</v>
      </c>
      <c r="D226" s="17" t="str">
        <f t="shared" si="6"/>
        <v>ea</v>
      </c>
      <c r="E226" s="13">
        <v>495</v>
      </c>
    </row>
    <row r="227" spans="1:5">
      <c r="A227" s="16" t="str">
        <f>"629277AM"</f>
        <v>629277AM</v>
      </c>
      <c r="B227" s="16" t="str">
        <f>"Clutch Servo 100 mm"</f>
        <v>Clutch Servo 100 mm</v>
      </c>
      <c r="C227" s="17">
        <v>1</v>
      </c>
      <c r="D227" s="17" t="str">
        <f t="shared" si="6"/>
        <v>ea</v>
      </c>
      <c r="E227" s="13">
        <v>495</v>
      </c>
    </row>
    <row r="228" spans="1:5">
      <c r="A228" s="14" t="str">
        <f>"629298AM"</f>
        <v>629298AM</v>
      </c>
      <c r="B228" s="14" t="str">
        <f>"Master Cylinder"</f>
        <v>Master Cylinder</v>
      </c>
      <c r="C228" s="15">
        <v>1</v>
      </c>
      <c r="D228" s="15" t="str">
        <f t="shared" si="6"/>
        <v>ea</v>
      </c>
      <c r="E228" s="13">
        <v>132.5</v>
      </c>
    </row>
    <row r="229" spans="1:5">
      <c r="A229" s="16" t="str">
        <f>"629300AM"</f>
        <v>629300AM</v>
      </c>
      <c r="B229" s="16" t="str">
        <f>"Clutch Servo 100mm"</f>
        <v>Clutch Servo 100mm</v>
      </c>
      <c r="C229" s="17">
        <v>1</v>
      </c>
      <c r="D229" s="17" t="str">
        <f t="shared" si="6"/>
        <v>ea</v>
      </c>
      <c r="E229" s="13">
        <v>566</v>
      </c>
    </row>
    <row r="230" spans="1:5">
      <c r="A230" s="14" t="str">
        <f>"629303AM"</f>
        <v>629303AM</v>
      </c>
      <c r="B230" s="14" t="str">
        <f>"Select Gear Box Actuator"</f>
        <v>Select Gear Box Actuator</v>
      </c>
      <c r="C230" s="15">
        <v>1</v>
      </c>
      <c r="D230" s="15" t="str">
        <f t="shared" si="6"/>
        <v>ea</v>
      </c>
      <c r="E230" s="13">
        <v>297</v>
      </c>
    </row>
    <row r="231" spans="1:5">
      <c r="A231" s="14" t="str">
        <f>"629327AM"</f>
        <v>629327AM</v>
      </c>
      <c r="B231" s="14" t="str">
        <f>"Repair Kit (Servo Wear Indicator"</f>
        <v>Repair Kit (Servo Wear Indicator</v>
      </c>
      <c r="C231" s="15">
        <v>1</v>
      </c>
      <c r="D231" s="15" t="str">
        <f t="shared" si="6"/>
        <v>ea</v>
      </c>
      <c r="E231" s="13">
        <v>167.2</v>
      </c>
    </row>
    <row r="232" spans="1:5">
      <c r="A232" s="14" t="str">
        <f>"629479AM"</f>
        <v>629479AM</v>
      </c>
      <c r="B232" s="14" t="str">
        <f>"Clutch Servo 80mm"</f>
        <v>Clutch Servo 80mm</v>
      </c>
      <c r="C232" s="15">
        <v>1</v>
      </c>
      <c r="D232" s="15" t="str">
        <f t="shared" si="6"/>
        <v>ea</v>
      </c>
      <c r="E232" s="13">
        <v>382</v>
      </c>
    </row>
    <row r="233" spans="1:5">
      <c r="A233" s="14" t="str">
        <f>"629498AM"</f>
        <v>629498AM</v>
      </c>
      <c r="B233" s="14" t="str">
        <f>"HGS Repair Kit"</f>
        <v>HGS Repair Kit</v>
      </c>
      <c r="C233" s="15">
        <v>1</v>
      </c>
      <c r="D233" s="15" t="str">
        <f t="shared" si="6"/>
        <v>ea</v>
      </c>
      <c r="E233" s="13">
        <v>58.6</v>
      </c>
    </row>
    <row r="234" spans="1:5">
      <c r="A234" s="14" t="str">
        <f>"629582AM"</f>
        <v>629582AM</v>
      </c>
      <c r="B234" s="14" t="str">
        <f>"Hydraulic Gearshift"</f>
        <v>Hydraulic Gearshift</v>
      </c>
      <c r="C234" s="15">
        <v>1</v>
      </c>
      <c r="D234" s="15" t="str">
        <f t="shared" si="6"/>
        <v>ea</v>
      </c>
      <c r="E234" s="13">
        <v>988</v>
      </c>
    </row>
    <row r="235" spans="1:5">
      <c r="A235" s="16" t="str">
        <f>"629614AM"</f>
        <v>629614AM</v>
      </c>
      <c r="B235" s="16" t="str">
        <f>"Select cylinder"</f>
        <v>Select cylinder</v>
      </c>
      <c r="C235" s="17">
        <v>1</v>
      </c>
      <c r="D235" s="17" t="str">
        <f t="shared" si="6"/>
        <v>ea</v>
      </c>
      <c r="E235" s="13">
        <v>288</v>
      </c>
    </row>
    <row r="236" spans="1:5">
      <c r="A236" s="16" t="str">
        <f>"629683AM"</f>
        <v>629683AM</v>
      </c>
      <c r="B236" s="16" t="str">
        <f>"Servo Master"</f>
        <v>Servo Master</v>
      </c>
      <c r="C236" s="17">
        <v>1</v>
      </c>
      <c r="D236" s="17" t="str">
        <f t="shared" si="6"/>
        <v>ea</v>
      </c>
      <c r="E236" s="13">
        <v>475</v>
      </c>
    </row>
    <row r="237" spans="1:5">
      <c r="A237" s="14" t="str">
        <f>"629862AM"</f>
        <v>629862AM</v>
      </c>
      <c r="B237" s="14" t="str">
        <f>"Hydraulic Gearshift"</f>
        <v>Hydraulic Gearshift</v>
      </c>
      <c r="C237" s="15">
        <v>1</v>
      </c>
      <c r="D237" s="15" t="str">
        <f t="shared" si="6"/>
        <v>ea</v>
      </c>
      <c r="E237" s="13">
        <v>854</v>
      </c>
    </row>
    <row r="238" spans="1:5">
      <c r="A238" s="14" t="str">
        <f>"629920AM"</f>
        <v>629920AM</v>
      </c>
      <c r="B238" s="14" t="str">
        <f>"Shift Cylinder ״26"</f>
        <v>Shift Cylinder ״26</v>
      </c>
      <c r="C238" s="15">
        <v>1</v>
      </c>
      <c r="D238" s="15" t="str">
        <f t="shared" si="6"/>
        <v>ea</v>
      </c>
      <c r="E238" s="13">
        <v>205</v>
      </c>
    </row>
    <row r="239" spans="1:5">
      <c r="A239" s="14" t="str">
        <f>"629978AM"</f>
        <v>629978AM</v>
      </c>
      <c r="B239" s="14" t="str">
        <f>"Gear Lever Actuator"</f>
        <v>Gear Lever Actuator</v>
      </c>
      <c r="C239" s="15">
        <v>1</v>
      </c>
      <c r="D239" s="15" t="str">
        <f t="shared" si="6"/>
        <v>ea</v>
      </c>
      <c r="E239" s="13">
        <v>1348.6</v>
      </c>
    </row>
    <row r="240" spans="1:5">
      <c r="A240" s="14" t="str">
        <f>"629979AM"</f>
        <v>629979AM</v>
      </c>
      <c r="B240" s="14" t="str">
        <f>"Gear Lever Actuator"</f>
        <v>Gear Lever Actuator</v>
      </c>
      <c r="C240" s="15">
        <v>1</v>
      </c>
      <c r="D240" s="15" t="str">
        <f t="shared" si="6"/>
        <v>ea</v>
      </c>
      <c r="E240" s="13">
        <v>1160</v>
      </c>
    </row>
    <row r="241" spans="1:5">
      <c r="A241" s="14" t="str">
        <f>"630151AM"</f>
        <v>630151AM</v>
      </c>
      <c r="B241" s="14" t="str">
        <f>"GLA bellow"</f>
        <v>GLA bellow</v>
      </c>
      <c r="C241" s="15">
        <v>1</v>
      </c>
      <c r="D241" s="15" t="str">
        <f t="shared" si="6"/>
        <v>ea</v>
      </c>
      <c r="E241" s="13">
        <v>75</v>
      </c>
    </row>
    <row r="242" spans="1:5">
      <c r="A242" s="14" t="str">
        <f>"630175AM"</f>
        <v>630175AM</v>
      </c>
      <c r="B242" s="14" t="str">
        <f>"Repair Kit for 626448"</f>
        <v>Repair Kit for 626448</v>
      </c>
      <c r="C242" s="15">
        <v>1</v>
      </c>
      <c r="D242" s="15" t="str">
        <f t="shared" si="6"/>
        <v>ea</v>
      </c>
      <c r="E242" s="13">
        <v>165</v>
      </c>
    </row>
    <row r="243" spans="1:5">
      <c r="A243" s="14" t="str">
        <f>"630178AM"</f>
        <v>630178AM</v>
      </c>
      <c r="B243" s="14" t="str">
        <f>"Repair Kit for 626447"</f>
        <v>Repair Kit for 626447</v>
      </c>
      <c r="C243" s="15">
        <v>1</v>
      </c>
      <c r="D243" s="15" t="str">
        <f t="shared" si="6"/>
        <v>ea</v>
      </c>
      <c r="E243" s="13">
        <v>165</v>
      </c>
    </row>
    <row r="244" spans="1:5">
      <c r="A244" s="14" t="str">
        <f>"630244AM"</f>
        <v>630244AM</v>
      </c>
      <c r="B244" s="14" t="str">
        <f>"V-Stay"</f>
        <v>V-Stay</v>
      </c>
      <c r="C244" s="15">
        <v>1</v>
      </c>
      <c r="D244" s="15" t="str">
        <f t="shared" si="6"/>
        <v>ea</v>
      </c>
      <c r="E244" s="13">
        <v>732</v>
      </c>
    </row>
    <row r="245" spans="1:5">
      <c r="A245" s="16" t="str">
        <f>"630361AM"</f>
        <v>630361AM</v>
      </c>
      <c r="B245" s="16" t="str">
        <f>"Clutch Servo TGA"</f>
        <v>Clutch Servo TGA</v>
      </c>
      <c r="C245" s="17">
        <v>1</v>
      </c>
      <c r="D245" s="17" t="str">
        <f t="shared" si="6"/>
        <v>ea</v>
      </c>
      <c r="E245" s="13">
        <v>444</v>
      </c>
    </row>
    <row r="246" spans="1:5">
      <c r="A246" s="14" t="str">
        <f>"630388AM"</f>
        <v>630388AM</v>
      </c>
      <c r="B246" s="14" t="str">
        <f>"HGS GLA HPS2"</f>
        <v>HGS GLA HPS2</v>
      </c>
      <c r="C246" s="15">
        <v>1</v>
      </c>
      <c r="D246" s="15" t="str">
        <f t="shared" si="6"/>
        <v>ea</v>
      </c>
      <c r="E246" s="13">
        <v>1045</v>
      </c>
    </row>
    <row r="247" spans="1:5">
      <c r="A247" s="21" t="str">
        <f>"630424AM"</f>
        <v>630424AM</v>
      </c>
      <c r="B247" s="21" t="str">
        <f>"Clutch Servo 100 mm"</f>
        <v>Clutch Servo 100 mm</v>
      </c>
      <c r="C247" s="22">
        <v>1</v>
      </c>
      <c r="D247" s="22" t="str">
        <f t="shared" si="6"/>
        <v>ea</v>
      </c>
      <c r="E247" s="13">
        <v>631</v>
      </c>
    </row>
    <row r="248" spans="1:5">
      <c r="A248" s="14" t="str">
        <f>"630889AM"</f>
        <v>630889AM</v>
      </c>
      <c r="B248" s="14" t="str">
        <f>"Clutch Servo 100"</f>
        <v>Clutch Servo 100</v>
      </c>
      <c r="C248" s="15">
        <v>1</v>
      </c>
      <c r="D248" s="15" t="str">
        <f t="shared" si="6"/>
        <v>ea</v>
      </c>
      <c r="E248" s="13">
        <v>592</v>
      </c>
    </row>
    <row r="249" spans="1:5">
      <c r="A249" s="14" t="str">
        <f>"631063AM"</f>
        <v>631063AM</v>
      </c>
      <c r="B249" s="14" t="str">
        <f>"Clutch Servo 80mm"</f>
        <v>Clutch Servo 80mm</v>
      </c>
      <c r="C249" s="15">
        <v>1</v>
      </c>
      <c r="D249" s="15" t="str">
        <f t="shared" si="6"/>
        <v>ea</v>
      </c>
      <c r="E249" s="13">
        <v>396</v>
      </c>
    </row>
    <row r="250" spans="1:5">
      <c r="A250" s="14" t="str">
        <f>"631120AM"</f>
        <v>631120AM</v>
      </c>
      <c r="B250" s="14" t="str">
        <f>"V-STAY Volvo FM/FH"</f>
        <v>V-STAY Volvo FM/FH</v>
      </c>
      <c r="C250" s="15">
        <v>1</v>
      </c>
      <c r="D250" s="15" t="str">
        <f t="shared" si="6"/>
        <v>ea</v>
      </c>
      <c r="E250" s="13">
        <v>755</v>
      </c>
    </row>
    <row r="251" spans="1:5">
      <c r="A251" s="14" t="str">
        <f>"631130AM"</f>
        <v>631130AM</v>
      </c>
      <c r="B251" s="14" t="str">
        <f>"Gear Lever Actuator"</f>
        <v>Gear Lever Actuator</v>
      </c>
      <c r="C251" s="15">
        <v>1</v>
      </c>
      <c r="D251" s="15" t="str">
        <f t="shared" si="6"/>
        <v>ea</v>
      </c>
      <c r="E251" s="13">
        <v>1389.8</v>
      </c>
    </row>
    <row r="252" spans="1:5">
      <c r="A252" s="14" t="str">
        <f>"631355AM"</f>
        <v>631355AM</v>
      </c>
      <c r="B252" s="14" t="str">
        <f>"Select Cylinder"</f>
        <v>Select Cylinder</v>
      </c>
      <c r="C252" s="15">
        <v>1</v>
      </c>
      <c r="D252" s="15" t="str">
        <f t="shared" si="6"/>
        <v>ea</v>
      </c>
      <c r="E252" s="13">
        <v>221</v>
      </c>
    </row>
    <row r="253" spans="1:5">
      <c r="A253" s="14" t="str">
        <f>"631385AM"</f>
        <v>631385AM</v>
      </c>
      <c r="B253" s="14" t="str">
        <f>"Repair kit plastic cups"</f>
        <v>Repair kit plastic cups</v>
      </c>
      <c r="C253" s="15">
        <v>1</v>
      </c>
      <c r="D253" s="15" t="str">
        <f t="shared" si="6"/>
        <v>ea</v>
      </c>
      <c r="E253" s="13">
        <v>60</v>
      </c>
    </row>
    <row r="254" spans="1:5">
      <c r="C254" s="3"/>
      <c r="D254" s="3"/>
      <c r="E254" s="6"/>
    </row>
    <row r="255" spans="1:5">
      <c r="A255" t="s">
        <v>4</v>
      </c>
      <c r="B255" t="s">
        <v>5</v>
      </c>
      <c r="C255" s="3"/>
      <c r="D255" s="3"/>
      <c r="E25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Giorgetti</dc:creator>
  <cp:lastModifiedBy>Matteo Giorgetti</cp:lastModifiedBy>
  <cp:lastPrinted>2013-05-31T06:52:34Z</cp:lastPrinted>
  <dcterms:created xsi:type="dcterms:W3CDTF">2013-05-31T06:51:22Z</dcterms:created>
  <dcterms:modified xsi:type="dcterms:W3CDTF">2013-05-31T06:54:27Z</dcterms:modified>
</cp:coreProperties>
</file>